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Default Extension="xml" ContentType="application/xml"/>
  <Override PartName="/xl/workbook.xml" ContentType="application/vnd.openxmlformats-officedocument.spreadsheetml.sheet.main+xml"/>
  <Override PartName="/xl/worksheets/sheet7.xml" ContentType="application/vnd.openxmlformats-officedocument.spreadsheetml.worksheet+xml"/>
  <Override PartName="/xl/worksheets/sheet3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calcChain.xml" ContentType="application/vnd.openxmlformats-officedocument.spreadsheetml.calcChain+xml"/>
  <Default Extension="rels" ContentType="application/vnd.openxmlformats-package.relationships+xml"/>
  <Override PartName="/xl/worksheets/sheet5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ate1904="1" showInkAnnotation="0" autoCompressPictures="0"/>
  <bookViews>
    <workbookView xWindow="120" yWindow="-80" windowWidth="33480" windowHeight="20440" tabRatio="519"/>
  </bookViews>
  <sheets>
    <sheet name="Summary" sheetId="13" r:id="rId1"/>
    <sheet name="Config Timing (long)" sheetId="8" r:id="rId2"/>
    <sheet name="Config Timing (squeeze MC)" sheetId="10" r:id="rId3"/>
    <sheet name="Config Timing (squeeze FPGA)" sheetId="9" r:id="rId4"/>
    <sheet name="Config Timing (short)" sheetId="12" r:id="rId5"/>
    <sheet name="Config Timing (&quot;original&quot;)" sheetId="1" r:id="rId6"/>
    <sheet name="Sheet1" sheetId="7" r:id="rId7"/>
  </sheets>
  <calcPr calcId="130000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F86" i="1"/>
  <c r="F85"/>
  <c r="F84"/>
  <c r="F83"/>
  <c r="F82"/>
  <c r="F81"/>
  <c r="F80"/>
  <c r="D77"/>
  <c r="E76"/>
  <c r="C76"/>
  <c r="E75"/>
  <c r="D75"/>
  <c r="F74"/>
  <c r="E74"/>
  <c r="D74"/>
  <c r="C74"/>
  <c r="F73"/>
  <c r="E73"/>
  <c r="D73"/>
  <c r="F72"/>
  <c r="E72"/>
  <c r="D72"/>
  <c r="F71"/>
  <c r="E71"/>
  <c r="D71"/>
  <c r="F70"/>
  <c r="E70"/>
  <c r="D70"/>
  <c r="F68"/>
  <c r="E68"/>
  <c r="D68"/>
  <c r="F67"/>
  <c r="E67"/>
  <c r="D67"/>
  <c r="C67"/>
  <c r="F66"/>
  <c r="E66"/>
  <c r="D66"/>
  <c r="F65"/>
  <c r="E65"/>
  <c r="D65"/>
  <c r="F64"/>
  <c r="E64"/>
  <c r="D64"/>
  <c r="F63"/>
  <c r="E63"/>
  <c r="D63"/>
  <c r="F61"/>
  <c r="E61"/>
  <c r="D61"/>
  <c r="F60"/>
  <c r="E60"/>
  <c r="D60"/>
  <c r="C60"/>
  <c r="F59"/>
  <c r="E59"/>
  <c r="D59"/>
  <c r="F58"/>
  <c r="E58"/>
  <c r="D58"/>
  <c r="F57"/>
  <c r="E57"/>
  <c r="D57"/>
  <c r="F56"/>
  <c r="E56"/>
  <c r="D56"/>
  <c r="F54"/>
  <c r="E54"/>
  <c r="D54"/>
  <c r="F53"/>
  <c r="E53"/>
  <c r="D53"/>
  <c r="C53"/>
  <c r="F52"/>
  <c r="E52"/>
  <c r="D52"/>
  <c r="F51"/>
  <c r="E51"/>
  <c r="D51"/>
  <c r="F50"/>
  <c r="E50"/>
  <c r="D50"/>
  <c r="F49"/>
  <c r="E49"/>
  <c r="D49"/>
  <c r="F47"/>
  <c r="E47"/>
  <c r="D47"/>
  <c r="F46"/>
  <c r="E46"/>
  <c r="D46"/>
  <c r="C46"/>
  <c r="F45"/>
  <c r="E45"/>
  <c r="D45"/>
  <c r="F44"/>
  <c r="E44"/>
  <c r="D44"/>
  <c r="F43"/>
  <c r="E43"/>
  <c r="D43"/>
  <c r="E42"/>
  <c r="D42"/>
  <c r="F40"/>
  <c r="E40"/>
  <c r="D40"/>
  <c r="F39"/>
  <c r="E39"/>
  <c r="D39"/>
  <c r="C39"/>
  <c r="F38"/>
  <c r="E38"/>
  <c r="D38"/>
  <c r="F37"/>
  <c r="E37"/>
  <c r="D37"/>
  <c r="F36"/>
  <c r="E36"/>
  <c r="D36"/>
  <c r="F35"/>
  <c r="E35"/>
  <c r="D35"/>
  <c r="F33"/>
  <c r="E33"/>
  <c r="D33"/>
  <c r="F32"/>
  <c r="E32"/>
  <c r="D32"/>
  <c r="C32"/>
  <c r="F31"/>
  <c r="E31"/>
  <c r="D31"/>
  <c r="F30"/>
  <c r="E30"/>
  <c r="D30"/>
  <c r="F29"/>
  <c r="E29"/>
  <c r="D29"/>
  <c r="F28"/>
  <c r="E28"/>
  <c r="D28"/>
  <c r="F26"/>
  <c r="E26"/>
  <c r="D26"/>
  <c r="E25"/>
  <c r="D25"/>
  <c r="C25"/>
  <c r="F24"/>
  <c r="E24"/>
  <c r="D24"/>
  <c r="F23"/>
  <c r="E23"/>
  <c r="D23"/>
  <c r="F22"/>
  <c r="E22"/>
  <c r="D22"/>
  <c r="E21"/>
  <c r="D21"/>
  <c r="F19"/>
  <c r="E19"/>
  <c r="D19"/>
  <c r="E17"/>
  <c r="D17"/>
  <c r="E16"/>
  <c r="D16"/>
  <c r="E15"/>
  <c r="D15"/>
  <c r="E14"/>
  <c r="D14"/>
  <c r="F13"/>
  <c r="E13"/>
  <c r="D13"/>
  <c r="E12"/>
  <c r="D12"/>
  <c r="E11"/>
  <c r="D11"/>
  <c r="E8"/>
  <c r="D8"/>
  <c r="E7"/>
  <c r="D7"/>
  <c r="F6"/>
  <c r="E6"/>
  <c r="D6"/>
  <c r="F5"/>
  <c r="E5"/>
  <c r="D5"/>
  <c r="E4"/>
  <c r="C4"/>
  <c r="F68" i="8"/>
  <c r="F61"/>
  <c r="F54"/>
  <c r="F47"/>
  <c r="F40"/>
  <c r="F33"/>
  <c r="F26"/>
  <c r="F19"/>
  <c r="F13"/>
  <c r="F49"/>
  <c r="F70"/>
  <c r="F63"/>
  <c r="F56"/>
  <c r="F28"/>
  <c r="F35"/>
  <c r="F82"/>
  <c r="F81"/>
  <c r="F80"/>
  <c r="F83"/>
  <c r="E4"/>
  <c r="D6"/>
  <c r="F6"/>
  <c r="E6"/>
  <c r="D13"/>
  <c r="E13"/>
  <c r="D14"/>
  <c r="D15"/>
  <c r="D16"/>
  <c r="F84"/>
  <c r="D8"/>
  <c r="E8"/>
  <c r="D19"/>
  <c r="E19"/>
  <c r="E14"/>
  <c r="D21"/>
  <c r="E21"/>
  <c r="D22"/>
  <c r="D23"/>
  <c r="D24"/>
  <c r="F24"/>
  <c r="E24"/>
  <c r="E16"/>
  <c r="D17"/>
  <c r="E17"/>
  <c r="D25"/>
  <c r="E25"/>
  <c r="D26"/>
  <c r="E26"/>
  <c r="D28"/>
  <c r="E28"/>
  <c r="D29"/>
  <c r="D30"/>
  <c r="D31"/>
  <c r="F31"/>
  <c r="E31"/>
  <c r="D32"/>
  <c r="F32"/>
  <c r="E32"/>
  <c r="D33"/>
  <c r="E33"/>
  <c r="D35"/>
  <c r="E35"/>
  <c r="D36"/>
  <c r="D37"/>
  <c r="D38"/>
  <c r="F38"/>
  <c r="E38"/>
  <c r="D39"/>
  <c r="F39"/>
  <c r="E39"/>
  <c r="D40"/>
  <c r="E40"/>
  <c r="D42"/>
  <c r="E42"/>
  <c r="D43"/>
  <c r="D44"/>
  <c r="D45"/>
  <c r="F45"/>
  <c r="E45"/>
  <c r="D46"/>
  <c r="F46"/>
  <c r="E46"/>
  <c r="D47"/>
  <c r="E47"/>
  <c r="D49"/>
  <c r="E49"/>
  <c r="D50"/>
  <c r="D51"/>
  <c r="D52"/>
  <c r="F52"/>
  <c r="E52"/>
  <c r="D53"/>
  <c r="F53"/>
  <c r="E53"/>
  <c r="D54"/>
  <c r="E54"/>
  <c r="D56"/>
  <c r="E56"/>
  <c r="D57"/>
  <c r="D58"/>
  <c r="D59"/>
  <c r="F59"/>
  <c r="E59"/>
  <c r="D60"/>
  <c r="F60"/>
  <c r="E60"/>
  <c r="D61"/>
  <c r="E61"/>
  <c r="D63"/>
  <c r="E63"/>
  <c r="D64"/>
  <c r="D65"/>
  <c r="D66"/>
  <c r="F66"/>
  <c r="E66"/>
  <c r="D67"/>
  <c r="F67"/>
  <c r="E67"/>
  <c r="D68"/>
  <c r="E68"/>
  <c r="D70"/>
  <c r="E70"/>
  <c r="D71"/>
  <c r="D72"/>
  <c r="D73"/>
  <c r="F73"/>
  <c r="E73"/>
  <c r="D74"/>
  <c r="F74"/>
  <c r="E74"/>
  <c r="D75"/>
  <c r="E75"/>
  <c r="E76"/>
  <c r="F85"/>
  <c r="F86"/>
  <c r="D7"/>
  <c r="E7"/>
  <c r="D5"/>
  <c r="F5"/>
  <c r="E5"/>
  <c r="D77"/>
  <c r="C4"/>
  <c r="C25"/>
  <c r="C32"/>
  <c r="C39"/>
  <c r="C46"/>
  <c r="C53"/>
  <c r="C60"/>
  <c r="C67"/>
  <c r="C74"/>
  <c r="C76"/>
  <c r="F72"/>
  <c r="F71"/>
  <c r="E71"/>
  <c r="E72"/>
  <c r="F65"/>
  <c r="F64"/>
  <c r="E64"/>
  <c r="E65"/>
  <c r="F58"/>
  <c r="F57"/>
  <c r="E57"/>
  <c r="E58"/>
  <c r="F51"/>
  <c r="F50"/>
  <c r="E50"/>
  <c r="E51"/>
  <c r="F44"/>
  <c r="F43"/>
  <c r="E43"/>
  <c r="E44"/>
  <c r="F37"/>
  <c r="F36"/>
  <c r="E36"/>
  <c r="E37"/>
  <c r="F30"/>
  <c r="F29"/>
  <c r="E29"/>
  <c r="E30"/>
  <c r="F23"/>
  <c r="F22"/>
  <c r="E22"/>
  <c r="E23"/>
  <c r="E15"/>
  <c r="D12"/>
  <c r="E12"/>
  <c r="D11"/>
  <c r="E11"/>
  <c r="F68" i="12"/>
  <c r="F61"/>
  <c r="F54"/>
  <c r="F47"/>
  <c r="F40"/>
  <c r="F33"/>
  <c r="F26"/>
  <c r="F19"/>
  <c r="F80"/>
  <c r="F81"/>
  <c r="F49"/>
  <c r="F70"/>
  <c r="F63"/>
  <c r="F56"/>
  <c r="F28"/>
  <c r="F35"/>
  <c r="F82"/>
  <c r="F83"/>
  <c r="E4"/>
  <c r="D6"/>
  <c r="F6"/>
  <c r="E6"/>
  <c r="D13"/>
  <c r="F13"/>
  <c r="E13"/>
  <c r="D14"/>
  <c r="D15"/>
  <c r="D16"/>
  <c r="F84"/>
  <c r="D8"/>
  <c r="E8"/>
  <c r="D19"/>
  <c r="E19"/>
  <c r="E14"/>
  <c r="D21"/>
  <c r="E21"/>
  <c r="D22"/>
  <c r="D23"/>
  <c r="D24"/>
  <c r="F24"/>
  <c r="E24"/>
  <c r="E16"/>
  <c r="D17"/>
  <c r="E17"/>
  <c r="D25"/>
  <c r="E25"/>
  <c r="D26"/>
  <c r="E26"/>
  <c r="D28"/>
  <c r="E28"/>
  <c r="D29"/>
  <c r="D30"/>
  <c r="D31"/>
  <c r="F31"/>
  <c r="E31"/>
  <c r="D32"/>
  <c r="F32"/>
  <c r="E32"/>
  <c r="D33"/>
  <c r="E33"/>
  <c r="D35"/>
  <c r="E35"/>
  <c r="D36"/>
  <c r="D37"/>
  <c r="D38"/>
  <c r="F38"/>
  <c r="E38"/>
  <c r="D39"/>
  <c r="F39"/>
  <c r="E39"/>
  <c r="D40"/>
  <c r="E40"/>
  <c r="D42"/>
  <c r="E42"/>
  <c r="D43"/>
  <c r="D44"/>
  <c r="D45"/>
  <c r="F45"/>
  <c r="E45"/>
  <c r="D46"/>
  <c r="F46"/>
  <c r="E46"/>
  <c r="D47"/>
  <c r="E47"/>
  <c r="D49"/>
  <c r="E49"/>
  <c r="D50"/>
  <c r="D51"/>
  <c r="D52"/>
  <c r="F52"/>
  <c r="E52"/>
  <c r="D53"/>
  <c r="F53"/>
  <c r="E53"/>
  <c r="D54"/>
  <c r="E54"/>
  <c r="D56"/>
  <c r="E56"/>
  <c r="D57"/>
  <c r="D58"/>
  <c r="D59"/>
  <c r="F59"/>
  <c r="E59"/>
  <c r="D60"/>
  <c r="F60"/>
  <c r="E60"/>
  <c r="D61"/>
  <c r="E61"/>
  <c r="D63"/>
  <c r="E63"/>
  <c r="D64"/>
  <c r="D65"/>
  <c r="D66"/>
  <c r="F66"/>
  <c r="E66"/>
  <c r="D67"/>
  <c r="F67"/>
  <c r="E67"/>
  <c r="D68"/>
  <c r="E68"/>
  <c r="D70"/>
  <c r="E70"/>
  <c r="D71"/>
  <c r="D72"/>
  <c r="D73"/>
  <c r="F73"/>
  <c r="E73"/>
  <c r="D74"/>
  <c r="F74"/>
  <c r="E74"/>
  <c r="D75"/>
  <c r="E75"/>
  <c r="E76"/>
  <c r="F85"/>
  <c r="F86"/>
  <c r="D7"/>
  <c r="E7"/>
  <c r="D5"/>
  <c r="F5"/>
  <c r="E5"/>
  <c r="D77"/>
  <c r="C4"/>
  <c r="C25"/>
  <c r="C32"/>
  <c r="C39"/>
  <c r="C46"/>
  <c r="C53"/>
  <c r="C60"/>
  <c r="C67"/>
  <c r="C74"/>
  <c r="C76"/>
  <c r="F72"/>
  <c r="F71"/>
  <c r="E71"/>
  <c r="E72"/>
  <c r="F65"/>
  <c r="F64"/>
  <c r="E64"/>
  <c r="E65"/>
  <c r="F58"/>
  <c r="F57"/>
  <c r="E57"/>
  <c r="E58"/>
  <c r="F51"/>
  <c r="F50"/>
  <c r="E50"/>
  <c r="E51"/>
  <c r="F44"/>
  <c r="F43"/>
  <c r="E43"/>
  <c r="E44"/>
  <c r="F37"/>
  <c r="F36"/>
  <c r="E36"/>
  <c r="E37"/>
  <c r="F30"/>
  <c r="F29"/>
  <c r="E29"/>
  <c r="E30"/>
  <c r="F23"/>
  <c r="F22"/>
  <c r="E22"/>
  <c r="E23"/>
  <c r="E15"/>
  <c r="D12"/>
  <c r="E12"/>
  <c r="D11"/>
  <c r="E11"/>
  <c r="F68" i="9"/>
  <c r="F61"/>
  <c r="F54"/>
  <c r="F47"/>
  <c r="F40"/>
  <c r="F33"/>
  <c r="F26"/>
  <c r="F19"/>
  <c r="F13"/>
  <c r="F80"/>
  <c r="F81"/>
  <c r="F49"/>
  <c r="F70"/>
  <c r="F63"/>
  <c r="F56"/>
  <c r="F28"/>
  <c r="F35"/>
  <c r="F82"/>
  <c r="F83"/>
  <c r="E4"/>
  <c r="D6"/>
  <c r="F6"/>
  <c r="E6"/>
  <c r="D13"/>
  <c r="E13"/>
  <c r="D14"/>
  <c r="D15"/>
  <c r="D16"/>
  <c r="F84"/>
  <c r="D8"/>
  <c r="E8"/>
  <c r="D19"/>
  <c r="E19"/>
  <c r="E14"/>
  <c r="D21"/>
  <c r="E21"/>
  <c r="D22"/>
  <c r="D23"/>
  <c r="D24"/>
  <c r="F24"/>
  <c r="E24"/>
  <c r="E16"/>
  <c r="D17"/>
  <c r="E17"/>
  <c r="D25"/>
  <c r="E25"/>
  <c r="D26"/>
  <c r="E26"/>
  <c r="D28"/>
  <c r="E28"/>
  <c r="D29"/>
  <c r="D30"/>
  <c r="D31"/>
  <c r="F31"/>
  <c r="E31"/>
  <c r="D32"/>
  <c r="F32"/>
  <c r="E32"/>
  <c r="D33"/>
  <c r="E33"/>
  <c r="D35"/>
  <c r="E35"/>
  <c r="D36"/>
  <c r="D37"/>
  <c r="D38"/>
  <c r="F38"/>
  <c r="E38"/>
  <c r="D39"/>
  <c r="F39"/>
  <c r="E39"/>
  <c r="D40"/>
  <c r="E40"/>
  <c r="D42"/>
  <c r="E42"/>
  <c r="D43"/>
  <c r="D44"/>
  <c r="D45"/>
  <c r="F45"/>
  <c r="E45"/>
  <c r="D46"/>
  <c r="F46"/>
  <c r="E46"/>
  <c r="D47"/>
  <c r="E47"/>
  <c r="D49"/>
  <c r="E49"/>
  <c r="D50"/>
  <c r="D51"/>
  <c r="D52"/>
  <c r="F52"/>
  <c r="E52"/>
  <c r="D53"/>
  <c r="F53"/>
  <c r="E53"/>
  <c r="D54"/>
  <c r="E54"/>
  <c r="D56"/>
  <c r="E56"/>
  <c r="D57"/>
  <c r="D58"/>
  <c r="D59"/>
  <c r="F59"/>
  <c r="E59"/>
  <c r="D60"/>
  <c r="F60"/>
  <c r="E60"/>
  <c r="D61"/>
  <c r="E61"/>
  <c r="D63"/>
  <c r="E63"/>
  <c r="D64"/>
  <c r="D65"/>
  <c r="D66"/>
  <c r="F66"/>
  <c r="E66"/>
  <c r="D67"/>
  <c r="F67"/>
  <c r="E67"/>
  <c r="D68"/>
  <c r="E68"/>
  <c r="D70"/>
  <c r="E70"/>
  <c r="D71"/>
  <c r="D72"/>
  <c r="D73"/>
  <c r="F73"/>
  <c r="E73"/>
  <c r="D74"/>
  <c r="F74"/>
  <c r="E74"/>
  <c r="D75"/>
  <c r="E75"/>
  <c r="E76"/>
  <c r="F85"/>
  <c r="F86"/>
  <c r="D7"/>
  <c r="E7"/>
  <c r="D5"/>
  <c r="F5"/>
  <c r="E5"/>
  <c r="D77"/>
  <c r="C4"/>
  <c r="C25"/>
  <c r="C32"/>
  <c r="C39"/>
  <c r="C46"/>
  <c r="C53"/>
  <c r="C60"/>
  <c r="C67"/>
  <c r="C74"/>
  <c r="C76"/>
  <c r="F72"/>
  <c r="F71"/>
  <c r="E71"/>
  <c r="E72"/>
  <c r="F65"/>
  <c r="F64"/>
  <c r="E64"/>
  <c r="E65"/>
  <c r="F58"/>
  <c r="F57"/>
  <c r="E57"/>
  <c r="E58"/>
  <c r="F51"/>
  <c r="F50"/>
  <c r="E50"/>
  <c r="E51"/>
  <c r="F44"/>
  <c r="F43"/>
  <c r="E43"/>
  <c r="E44"/>
  <c r="F37"/>
  <c r="F36"/>
  <c r="E36"/>
  <c r="E37"/>
  <c r="F30"/>
  <c r="F29"/>
  <c r="E29"/>
  <c r="E30"/>
  <c r="F23"/>
  <c r="F22"/>
  <c r="E22"/>
  <c r="E23"/>
  <c r="E15"/>
  <c r="D12"/>
  <c r="E12"/>
  <c r="D11"/>
  <c r="E11"/>
  <c r="F68" i="10"/>
  <c r="F61"/>
  <c r="F54"/>
  <c r="F47"/>
  <c r="F40"/>
  <c r="F33"/>
  <c r="F26"/>
  <c r="F19"/>
  <c r="F49"/>
  <c r="F70"/>
  <c r="F63"/>
  <c r="F56"/>
  <c r="F82"/>
  <c r="F80"/>
  <c r="F81"/>
  <c r="F28"/>
  <c r="F35"/>
  <c r="F13"/>
  <c r="F83"/>
  <c r="E4"/>
  <c r="D6"/>
  <c r="F6"/>
  <c r="E6"/>
  <c r="D13"/>
  <c r="E13"/>
  <c r="D14"/>
  <c r="D15"/>
  <c r="D16"/>
  <c r="F84"/>
  <c r="D8"/>
  <c r="E8"/>
  <c r="D19"/>
  <c r="E19"/>
  <c r="E14"/>
  <c r="D21"/>
  <c r="E21"/>
  <c r="D22"/>
  <c r="D23"/>
  <c r="D24"/>
  <c r="F24"/>
  <c r="E24"/>
  <c r="E16"/>
  <c r="D17"/>
  <c r="E17"/>
  <c r="D25"/>
  <c r="E25"/>
  <c r="D26"/>
  <c r="E26"/>
  <c r="D28"/>
  <c r="E28"/>
  <c r="D29"/>
  <c r="D30"/>
  <c r="D31"/>
  <c r="F31"/>
  <c r="E31"/>
  <c r="D32"/>
  <c r="F32"/>
  <c r="E32"/>
  <c r="D33"/>
  <c r="E33"/>
  <c r="D35"/>
  <c r="E35"/>
  <c r="D36"/>
  <c r="D37"/>
  <c r="D38"/>
  <c r="F38"/>
  <c r="E38"/>
  <c r="D39"/>
  <c r="F39"/>
  <c r="E39"/>
  <c r="D40"/>
  <c r="E40"/>
  <c r="D42"/>
  <c r="E42"/>
  <c r="D43"/>
  <c r="D44"/>
  <c r="D45"/>
  <c r="F45"/>
  <c r="E45"/>
  <c r="D46"/>
  <c r="F46"/>
  <c r="E46"/>
  <c r="D47"/>
  <c r="E47"/>
  <c r="D49"/>
  <c r="E49"/>
  <c r="D50"/>
  <c r="D51"/>
  <c r="D52"/>
  <c r="F52"/>
  <c r="E52"/>
  <c r="D53"/>
  <c r="F53"/>
  <c r="E53"/>
  <c r="D54"/>
  <c r="E54"/>
  <c r="D56"/>
  <c r="E56"/>
  <c r="D57"/>
  <c r="D58"/>
  <c r="D59"/>
  <c r="F59"/>
  <c r="E59"/>
  <c r="D60"/>
  <c r="F60"/>
  <c r="E60"/>
  <c r="D61"/>
  <c r="E61"/>
  <c r="D63"/>
  <c r="E63"/>
  <c r="D64"/>
  <c r="D65"/>
  <c r="D66"/>
  <c r="F66"/>
  <c r="E66"/>
  <c r="D67"/>
  <c r="F67"/>
  <c r="E67"/>
  <c r="D68"/>
  <c r="E68"/>
  <c r="D70"/>
  <c r="E70"/>
  <c r="D71"/>
  <c r="D72"/>
  <c r="D73"/>
  <c r="F73"/>
  <c r="E73"/>
  <c r="D74"/>
  <c r="F74"/>
  <c r="E74"/>
  <c r="D75"/>
  <c r="E75"/>
  <c r="E76"/>
  <c r="F85"/>
  <c r="F86"/>
  <c r="D7"/>
  <c r="E7"/>
  <c r="D5"/>
  <c r="F5"/>
  <c r="E5"/>
  <c r="D77"/>
  <c r="C4"/>
  <c r="C25"/>
  <c r="C32"/>
  <c r="C39"/>
  <c r="C46"/>
  <c r="C53"/>
  <c r="C60"/>
  <c r="C67"/>
  <c r="C74"/>
  <c r="C76"/>
  <c r="F72"/>
  <c r="F71"/>
  <c r="E71"/>
  <c r="E72"/>
  <c r="F65"/>
  <c r="F64"/>
  <c r="E64"/>
  <c r="E65"/>
  <c r="F58"/>
  <c r="F57"/>
  <c r="E57"/>
  <c r="E58"/>
  <c r="F51"/>
  <c r="F50"/>
  <c r="E50"/>
  <c r="E51"/>
  <c r="F44"/>
  <c r="F43"/>
  <c r="E43"/>
  <c r="E44"/>
  <c r="F37"/>
  <c r="F36"/>
  <c r="E36"/>
  <c r="E37"/>
  <c r="F30"/>
  <c r="F29"/>
  <c r="E29"/>
  <c r="E30"/>
  <c r="F23"/>
  <c r="F22"/>
  <c r="E22"/>
  <c r="E23"/>
  <c r="E15"/>
  <c r="D12"/>
  <c r="E12"/>
  <c r="D11"/>
  <c r="E11"/>
  <c r="C6" i="7"/>
  <c r="C10"/>
  <c r="C12"/>
  <c r="C8"/>
  <c r="C5"/>
  <c r="E4"/>
  <c r="C4"/>
  <c r="B8" i="13"/>
  <c r="E13"/>
  <c r="D13"/>
  <c r="C13"/>
  <c r="B13"/>
  <c r="E12"/>
  <c r="D12"/>
  <c r="C12"/>
  <c r="B12"/>
  <c r="E9"/>
  <c r="E8"/>
  <c r="E11"/>
  <c r="D9"/>
  <c r="D11"/>
  <c r="C9"/>
  <c r="C11"/>
  <c r="B9"/>
  <c r="B11"/>
  <c r="C8"/>
  <c r="D8"/>
</calcChain>
</file>

<file path=xl/sharedStrings.xml><?xml version="1.0" encoding="utf-8"?>
<sst xmlns="http://schemas.openxmlformats.org/spreadsheetml/2006/main" count="1112" uniqueCount="110">
  <si>
    <t>Finish time</t>
    <phoneticPr fontId="8" type="noConversion"/>
  </si>
  <si>
    <t>time of cobra move, iteration #1</t>
    <phoneticPr fontId="8" type="noConversion"/>
  </si>
  <si>
    <t>elapsed time during iterations</t>
    <phoneticPr fontId="8" type="noConversion"/>
  </si>
  <si>
    <t>part due to cobra movement</t>
    <phoneticPr fontId="8" type="noConversion"/>
  </si>
  <si>
    <t>part due to MC integration</t>
    <phoneticPr fontId="8" type="noConversion"/>
  </si>
  <si>
    <t>LONG</t>
    <phoneticPr fontId="8" type="noConversion"/>
  </si>
  <si>
    <t>MC squeezed</t>
    <phoneticPr fontId="8" type="noConversion"/>
  </si>
  <si>
    <t>FPGA squeezed</t>
    <phoneticPr fontId="8" type="noConversion"/>
  </si>
  <si>
    <t>SHORT</t>
    <phoneticPr fontId="8" type="noConversion"/>
  </si>
  <si>
    <t>0.1,0.5,2.7,7.0</t>
    <phoneticPr fontId="8" type="noConversion"/>
  </si>
  <si>
    <t>Last update by Peter Mao on</t>
    <phoneticPr fontId="8" type="noConversion"/>
  </si>
  <si>
    <t>guess</t>
    <phoneticPr fontId="8" type="noConversion"/>
  </si>
  <si>
    <t>fm above</t>
    <phoneticPr fontId="8" type="noConversion"/>
  </si>
  <si>
    <t>max(half previous,0.5)</t>
    <phoneticPr fontId="8" type="noConversion"/>
  </si>
  <si>
    <t>Shutter open</t>
    <phoneticPr fontId="8" type="noConversion"/>
  </si>
  <si>
    <t>Shutter close</t>
    <phoneticPr fontId="8" type="noConversion"/>
  </si>
  <si>
    <t>Median, suggested by N.Tamura</t>
    <phoneticPr fontId="8" type="noConversion"/>
  </si>
  <si>
    <t>Cobra move #3</t>
    <phoneticPr fontId="8" type="noConversion"/>
  </si>
  <si>
    <t>MC pixel calibrations</t>
    <phoneticPr fontId="8" type="noConversion"/>
  </si>
  <si>
    <t>guess</t>
    <phoneticPr fontId="8" type="noConversion"/>
  </si>
  <si>
    <t>Start</t>
    <phoneticPr fontId="8" type="noConversion"/>
  </si>
  <si>
    <t>End</t>
    <phoneticPr fontId="8" type="noConversion"/>
  </si>
  <si>
    <t>Basis of estimate</t>
    <phoneticPr fontId="8" type="noConversion"/>
  </si>
  <si>
    <t>TBD</t>
    <phoneticPr fontId="8" type="noConversion"/>
  </si>
  <si>
    <t>Receive new fiber destinations fm PFS</t>
    <phoneticPr fontId="8" type="noConversion"/>
  </si>
  <si>
    <t>Cobra move #5</t>
    <phoneticPr fontId="8" type="noConversion"/>
  </si>
  <si>
    <t>Cobra move #4</t>
    <phoneticPr fontId="8" type="noConversion"/>
  </si>
  <si>
    <t>Cobra move #2</t>
    <phoneticPr fontId="8" type="noConversion"/>
  </si>
  <si>
    <t>Cobra move #6</t>
    <phoneticPr fontId="8" type="noConversion"/>
  </si>
  <si>
    <t>Cobra move #7</t>
    <phoneticPr fontId="8" type="noConversion"/>
  </si>
  <si>
    <t>Back illumiinate all fibers; expose MC</t>
    <phoneticPr fontId="8" type="noConversion"/>
  </si>
  <si>
    <t>MC pixel calibrations</t>
    <phoneticPr fontId="8" type="noConversion"/>
  </si>
  <si>
    <t>MC readout</t>
    <phoneticPr fontId="8" type="noConversion"/>
  </si>
  <si>
    <t>Report final positions</t>
    <phoneticPr fontId="8" type="noConversion"/>
  </si>
  <si>
    <t>PFI software.</t>
    <phoneticPr fontId="8" type="noConversion"/>
  </si>
  <si>
    <t>CCD shutter</t>
    <phoneticPr fontId="8" type="noConversion"/>
  </si>
  <si>
    <t>Cobra Positioning</t>
    <phoneticPr fontId="8" type="noConversion"/>
  </si>
  <si>
    <t>MC exposures</t>
    <phoneticPr fontId="8" type="noConversion"/>
  </si>
  <si>
    <t>MC readout</t>
    <phoneticPr fontId="8" type="noConversion"/>
  </si>
  <si>
    <t>MC software</t>
    <phoneticPr fontId="8" type="noConversion"/>
  </si>
  <si>
    <t>Other overheads (eg. PFI software)</t>
    <phoneticPr fontId="8" type="noConversion"/>
  </si>
  <si>
    <t>seconds</t>
    <phoneticPr fontId="8" type="noConversion"/>
  </si>
  <si>
    <t>component not overlapped with readout.</t>
    <phoneticPr fontId="8" type="noConversion"/>
  </si>
  <si>
    <t>guess</t>
    <phoneticPr fontId="8" type="noConversion"/>
  </si>
  <si>
    <t>Cannon's estimate</t>
    <phoneticPr fontId="8" type="noConversion"/>
  </si>
  <si>
    <t>Locations are given in focal plane (x,y) [mm] coords w/ optical distortions accounted for.</t>
    <phoneticPr fontId="8" type="noConversion"/>
  </si>
  <si>
    <t>Moved in 5 groups to reduce peak power draw.  This is only done if we need all fibers to act as fiducials.</t>
    <phoneticPr fontId="8" type="noConversion"/>
  </si>
  <si>
    <r>
      <t xml:space="preserve">Compute high-order </t>
    </r>
    <r>
      <rPr>
        <sz val="10"/>
        <rFont val="Verdana"/>
      </rPr>
      <t xml:space="preserve">distortion map </t>
    </r>
    <phoneticPr fontId="8" type="noConversion"/>
  </si>
  <si>
    <t>TBD</t>
    <phoneticPr fontId="8" type="noConversion"/>
  </si>
  <si>
    <t>Duration</t>
    <phoneticPr fontId="8" type="noConversion"/>
  </si>
  <si>
    <t>(s)</t>
    <phoneticPr fontId="8" type="noConversion"/>
  </si>
  <si>
    <t>Does not inlcude telescope raster to confirm throughput maximization.</t>
    <phoneticPr fontId="8" type="noConversion"/>
  </si>
  <si>
    <t>512*4K @ 75KHz/ch, 1ms per parallel shift, 5% overscan</t>
  </si>
  <si>
    <t>Cobra move #8</t>
  </si>
  <si>
    <t>Includes guide star acquistion.</t>
  </si>
  <si>
    <t>same as homing move ?</t>
  </si>
  <si>
    <t>a=0.1 deg/s^2, vmax=0.5 deg/sec</t>
    <phoneticPr fontId="8" type="noConversion"/>
  </si>
  <si>
    <t>Acceleration fm Naoyuki Tamura; vel fm M. Iye, PASJ 56p381, 2004</t>
    <phoneticPr fontId="8" type="noConversion"/>
  </si>
  <si>
    <t>Telescope slew, 1.16 deg</t>
    <phoneticPr fontId="8" type="noConversion"/>
  </si>
  <si>
    <t>cobra move time (per iteration)</t>
    <phoneticPr fontId="8" type="noConversion"/>
  </si>
  <si>
    <t>MC integration time</t>
    <phoneticPr fontId="8" type="noConversion"/>
  </si>
  <si>
    <t>MC centroid computation</t>
    <phoneticPr fontId="8" type="noConversion"/>
  </si>
  <si>
    <t>Compute fiber positions</t>
    <phoneticPr fontId="8" type="noConversion"/>
  </si>
  <si>
    <t>Cobra Move #1</t>
    <phoneticPr fontId="8" type="noConversion"/>
  </si>
  <si>
    <t>Jim Gunn:</t>
    <phoneticPr fontId="8" type="noConversion"/>
  </si>
  <si>
    <t>PFI ready</t>
    <phoneticPr fontId="8" type="noConversion"/>
  </si>
  <si>
    <t>Enough computing power to match readout time</t>
    <phoneticPr fontId="8" type="noConversion"/>
  </si>
  <si>
    <t>CCD Readout</t>
    <phoneticPr fontId="8" type="noConversion"/>
  </si>
  <si>
    <t>Telescope settling, guider acquisition</t>
    <phoneticPr fontId="8" type="noConversion"/>
  </si>
  <si>
    <t>Breakdown:</t>
    <phoneticPr fontId="8" type="noConversion"/>
  </si>
  <si>
    <t>Overlapped with prior step.  OK?  Again, enough computing opwer to match readout time</t>
    <phoneticPr fontId="8" type="noConversion"/>
  </si>
  <si>
    <t>Unassigned</t>
    <phoneticPr fontId="8" type="noConversion"/>
  </si>
  <si>
    <t>Sci. Fibers</t>
    <phoneticPr fontId="8" type="noConversion"/>
  </si>
  <si>
    <t>Project total observing time</t>
    <phoneticPr fontId="8" type="noConversion"/>
  </si>
  <si>
    <t>Observing time per field</t>
    <phoneticPr fontId="8" type="noConversion"/>
  </si>
  <si>
    <t>hours</t>
    <phoneticPr fontId="8" type="noConversion"/>
  </si>
  <si>
    <t>Fiber setup time</t>
    <phoneticPr fontId="8" type="noConversion"/>
  </si>
  <si>
    <t>seconds</t>
    <phoneticPr fontId="8" type="noConversion"/>
  </si>
  <si>
    <t>baseline science fibers</t>
    <phoneticPr fontId="8" type="noConversion"/>
  </si>
  <si>
    <t>sf -&gt; fiducial</t>
    <phoneticPr fontId="8" type="noConversion"/>
  </si>
  <si>
    <t>this adds fiducial fibers inside the polygons.  MC integrations should be tied to this value</t>
    <phoneticPr fontId="8" type="noConversion"/>
  </si>
  <si>
    <t>assigned fibers</t>
    <phoneticPr fontId="8" type="noConversion"/>
  </si>
  <si>
    <t>targets acquired</t>
    <phoneticPr fontId="8" type="noConversion"/>
  </si>
  <si>
    <t>CF: collision avoidance will increase # steps for some percentage of the targets</t>
    <phoneticPr fontId="8" type="noConversion"/>
  </si>
  <si>
    <t>minutes</t>
    <phoneticPr fontId="8" type="noConversion"/>
  </si>
  <si>
    <t>Compute fiber positions</t>
  </si>
  <si>
    <t>Comment</t>
  </si>
  <si>
    <t>Convert MC pixel to focal plane coordinates.</t>
  </si>
  <si>
    <t>Exposure short enough to improve contrast against ambient light, yet long enough to integrate seeing motion.</t>
    <phoneticPr fontId="8" type="noConversion"/>
  </si>
  <si>
    <t>Minimum in low accuracy moves</t>
    <phoneticPr fontId="8" type="noConversion"/>
  </si>
  <si>
    <t>Cobras moved to anti-home position</t>
    <phoneticPr fontId="8" type="noConversion"/>
  </si>
  <si>
    <t>power</t>
    <phoneticPr fontId="8" type="noConversion"/>
  </si>
  <si>
    <t>illum/exp</t>
    <phoneticPr fontId="8" type="noConversion"/>
  </si>
  <si>
    <t>readout</t>
    <phoneticPr fontId="8" type="noConversion"/>
  </si>
  <si>
    <t>compute</t>
    <phoneticPr fontId="8" type="noConversion"/>
  </si>
  <si>
    <t>X</t>
    <phoneticPr fontId="8" type="noConversion"/>
  </si>
  <si>
    <t>X</t>
    <phoneticPr fontId="8" type="noConversion"/>
  </si>
  <si>
    <t>Move Cobras for θ-axis measurements</t>
    <phoneticPr fontId="8" type="noConversion"/>
  </si>
  <si>
    <t>Illuminator work in tandem with cobra movements</t>
    <phoneticPr fontId="8" type="noConversion"/>
  </si>
  <si>
    <t>X</t>
    <phoneticPr fontId="8" type="noConversion"/>
  </si>
  <si>
    <t>Don't need metrology for first move because we know the fibers are near home</t>
    <phoneticPr fontId="8" type="noConversion"/>
  </si>
  <si>
    <t>X</t>
    <phoneticPr fontId="8" type="noConversion"/>
  </si>
  <si>
    <t>X</t>
    <phoneticPr fontId="8" type="noConversion"/>
  </si>
  <si>
    <t>X</t>
    <phoneticPr fontId="8" type="noConversion"/>
  </si>
  <si>
    <t>S-Y Wang estimate from Aug team meeting</t>
    <phoneticPr fontId="8" type="noConversion"/>
  </si>
  <si>
    <t>5x last iteration</t>
    <phoneticPr fontId="8" type="noConversion"/>
  </si>
  <si>
    <t>fm above</t>
    <phoneticPr fontId="8" type="noConversion"/>
  </si>
  <si>
    <t>GUIDING LOCKED.  1st long MC exposure to avg out dome seeing.  21.7 s/ iteration from here.</t>
    <phoneticPr fontId="8" type="noConversion"/>
  </si>
  <si>
    <t>Dark, flats.</t>
    <phoneticPr fontId="8" type="noConversion"/>
  </si>
  <si>
    <t>Including bad pixel interpolation and/or flagging of corrupted centroids.</t>
    <phoneticPr fontId="8" type="noConversion"/>
  </si>
</sst>
</file>

<file path=xl/styles.xml><?xml version="1.0" encoding="utf-8"?>
<styleSheet xmlns="http://schemas.openxmlformats.org/spreadsheetml/2006/main">
  <numFmts count="7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8" formatCode="0.0"/>
    <numFmt numFmtId="169" formatCode="0.000"/>
    <numFmt numFmtId="171" formatCode="mmmm\ d\,\ yyyy"/>
  </numFmts>
  <fonts count="19">
    <font>
      <sz val="10"/>
      <name val="Verdana"/>
    </font>
    <font>
      <b/>
      <sz val="10"/>
      <name val="Verdana"/>
    </font>
    <font>
      <sz val="10"/>
      <name val="Verdana"/>
    </font>
    <font>
      <b/>
      <sz val="10"/>
      <name val="Verdana"/>
    </font>
    <font>
      <sz val="10"/>
      <name val="Verdana"/>
    </font>
    <font>
      <sz val="10"/>
      <name val="Verdana"/>
    </font>
    <font>
      <b/>
      <sz val="10"/>
      <name val="Verdana"/>
    </font>
    <font>
      <sz val="10"/>
      <name val="Verdana"/>
    </font>
    <font>
      <sz val="8"/>
      <name val="Verdana"/>
    </font>
    <font>
      <b/>
      <sz val="10"/>
      <color indexed="12"/>
      <name val="Verdana"/>
    </font>
    <font>
      <b/>
      <sz val="10"/>
      <color indexed="48"/>
      <name val="Verdana"/>
    </font>
    <font>
      <b/>
      <sz val="14"/>
      <name val="Verdana"/>
    </font>
    <font>
      <u/>
      <sz val="10"/>
      <color indexed="12"/>
      <name val="Verdana"/>
    </font>
    <font>
      <u/>
      <sz val="10"/>
      <color indexed="20"/>
      <name val="Verdana"/>
    </font>
    <font>
      <b/>
      <sz val="11"/>
      <color indexed="48"/>
      <name val="Verdana"/>
    </font>
    <font>
      <b/>
      <sz val="14"/>
      <color indexed="57"/>
      <name val="Verdana"/>
    </font>
    <font>
      <sz val="14"/>
      <name val="Verdana"/>
    </font>
    <font>
      <sz val="11"/>
      <name val="Verdana"/>
    </font>
    <font>
      <sz val="10"/>
      <color indexed="206"/>
      <name val="Verdana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3">
    <xf numFmtId="0" fontId="0" fillId="0" borderId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</cellStyleXfs>
  <cellXfs count="39">
    <xf numFmtId="0" fontId="0" fillId="0" borderId="0" xfId="0"/>
    <xf numFmtId="0" fontId="0" fillId="0" borderId="0" xfId="0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  <xf numFmtId="168" fontId="0" fillId="0" borderId="0" xfId="0" applyNumberFormat="1" applyAlignment="1">
      <alignment horizontal="center"/>
    </xf>
    <xf numFmtId="0" fontId="9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0" fillId="2" borderId="0" xfId="0" applyFont="1" applyFill="1" applyAlignment="1">
      <alignment horizontal="center"/>
    </xf>
    <xf numFmtId="168" fontId="0" fillId="0" borderId="0" xfId="0" applyNumberFormat="1" applyAlignment="1">
      <alignment horizontal="center"/>
    </xf>
    <xf numFmtId="1" fontId="10" fillId="2" borderId="0" xfId="0" applyNumberFormat="1" applyFont="1" applyFill="1" applyAlignment="1">
      <alignment horizontal="center"/>
    </xf>
    <xf numFmtId="168" fontId="11" fillId="0" borderId="0" xfId="0" applyNumberFormat="1" applyFont="1" applyAlignment="1">
      <alignment horizontal="center"/>
    </xf>
    <xf numFmtId="0" fontId="0" fillId="0" borderId="0" xfId="0" applyFont="1" applyFill="1" applyAlignment="1">
      <alignment horizontal="center"/>
    </xf>
    <xf numFmtId="1" fontId="14" fillId="2" borderId="0" xfId="0" applyNumberFormat="1" applyFont="1" applyFill="1" applyAlignment="1">
      <alignment horizontal="center"/>
    </xf>
    <xf numFmtId="0" fontId="5" fillId="0" borderId="0" xfId="0" applyFont="1"/>
    <xf numFmtId="0" fontId="5" fillId="0" borderId="0" xfId="0" applyFont="1" applyFill="1" applyAlignment="1">
      <alignment horizontal="center"/>
    </xf>
    <xf numFmtId="168" fontId="15" fillId="0" borderId="0" xfId="0" applyNumberFormat="1" applyFont="1" applyAlignment="1">
      <alignment horizontal="center"/>
    </xf>
    <xf numFmtId="168" fontId="16" fillId="3" borderId="0" xfId="0" applyNumberFormat="1" applyFont="1" applyFill="1" applyAlignment="1">
      <alignment horizontal="center"/>
    </xf>
    <xf numFmtId="0" fontId="16" fillId="3" borderId="0" xfId="0" applyFont="1" applyFill="1" applyAlignment="1">
      <alignment horizontal="center"/>
    </xf>
    <xf numFmtId="0" fontId="16" fillId="3" borderId="0" xfId="0" applyFont="1" applyFill="1"/>
    <xf numFmtId="168" fontId="16" fillId="3" borderId="0" xfId="0" applyNumberFormat="1" applyFont="1" applyFill="1" applyAlignment="1">
      <alignment horizontal="center"/>
    </xf>
    <xf numFmtId="169" fontId="16" fillId="3" borderId="0" xfId="0" applyNumberFormat="1" applyFont="1" applyFill="1" applyAlignment="1">
      <alignment horizontal="center"/>
    </xf>
    <xf numFmtId="168" fontId="11" fillId="3" borderId="1" xfId="0" applyNumberFormat="1" applyFont="1" applyFill="1" applyBorder="1" applyAlignment="1">
      <alignment horizontal="center"/>
    </xf>
    <xf numFmtId="0" fontId="17" fillId="3" borderId="0" xfId="0" applyFont="1" applyFill="1"/>
    <xf numFmtId="10" fontId="0" fillId="0" borderId="0" xfId="0" applyNumberFormat="1"/>
    <xf numFmtId="0" fontId="2" fillId="0" borderId="0" xfId="0" applyFont="1" applyFill="1"/>
    <xf numFmtId="0" fontId="0" fillId="0" borderId="0" xfId="0" applyAlignment="1">
      <alignment wrapText="1"/>
    </xf>
    <xf numFmtId="0" fontId="6" fillId="0" borderId="0" xfId="0" applyFont="1" applyAlignment="1">
      <alignment wrapText="1"/>
    </xf>
    <xf numFmtId="0" fontId="0" fillId="3" borderId="0" xfId="0" applyFill="1" applyAlignment="1">
      <alignment wrapText="1"/>
    </xf>
    <xf numFmtId="0" fontId="4" fillId="0" borderId="0" xfId="0" applyFont="1" applyAlignment="1">
      <alignment wrapText="1"/>
    </xf>
    <xf numFmtId="171" fontId="3" fillId="0" borderId="0" xfId="0" applyNumberFormat="1" applyFont="1" applyAlignment="1">
      <alignment horizontal="left" wrapText="1"/>
    </xf>
    <xf numFmtId="0" fontId="15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11" fillId="0" borderId="0" xfId="0" applyFont="1" applyAlignment="1">
      <alignment wrapText="1"/>
    </xf>
    <xf numFmtId="0" fontId="11" fillId="3" borderId="0" xfId="0" applyFont="1" applyFill="1" applyAlignment="1">
      <alignment wrapText="1"/>
    </xf>
    <xf numFmtId="0" fontId="16" fillId="3" borderId="0" xfId="0" applyFont="1" applyFill="1" applyAlignment="1">
      <alignment horizontal="left" wrapText="1" indent="1"/>
    </xf>
    <xf numFmtId="0" fontId="16" fillId="3" borderId="0" xfId="0" applyFont="1" applyFill="1" applyAlignment="1">
      <alignment wrapText="1"/>
    </xf>
    <xf numFmtId="0" fontId="18" fillId="0" borderId="0" xfId="0" applyFont="1" applyAlignment="1">
      <alignment horizontal="center"/>
    </xf>
    <xf numFmtId="2" fontId="0" fillId="0" borderId="0" xfId="0" applyNumberFormat="1"/>
    <xf numFmtId="2" fontId="0" fillId="4" borderId="0" xfId="0" applyNumberFormat="1" applyFill="1"/>
  </cellXfs>
  <cellStyles count="3">
    <cellStyle name="Followed Hyperlink" xfId="2" builtinId="9" hidden="1"/>
    <cellStyle name="Hyperlink" xfId="1" builtinId="8" hidden="1"/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theme" Target="theme/theme1.xml"/><Relationship Id="rId9" Type="http://schemas.openxmlformats.org/officeDocument/2006/relationships/styles" Target="styles.xml"/><Relationship Id="rId10" Type="http://schemas.openxmlformats.org/officeDocument/2006/relationships/sharedStrings" Target="sharedStrings.xml"/><Relationship Id="rId11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/>
  <dimension ref="A2:E13"/>
  <sheetViews>
    <sheetView tabSelected="1" zoomScale="125" workbookViewId="0">
      <selection activeCell="D14" sqref="D14"/>
    </sheetView>
  </sheetViews>
  <sheetFormatPr baseColWidth="10" defaultRowHeight="13"/>
  <cols>
    <col min="1" max="1" width="30.140625" customWidth="1"/>
    <col min="2" max="2" width="12.42578125" style="37" customWidth="1"/>
    <col min="3" max="3" width="13" style="37" customWidth="1"/>
    <col min="4" max="4" width="12.140625" style="37" customWidth="1"/>
    <col min="5" max="5" width="13.28515625" style="37" customWidth="1"/>
  </cols>
  <sheetData>
    <row r="2" spans="1:5">
      <c r="B2" s="37" t="s">
        <v>5</v>
      </c>
      <c r="C2" s="37" t="s">
        <v>6</v>
      </c>
      <c r="D2" s="37" t="s">
        <v>7</v>
      </c>
      <c r="E2" s="37" t="s">
        <v>8</v>
      </c>
    </row>
    <row r="5" spans="1:5">
      <c r="A5" t="s">
        <v>59</v>
      </c>
      <c r="B5" s="37">
        <v>6</v>
      </c>
      <c r="C5" s="37">
        <v>6</v>
      </c>
      <c r="D5" s="37">
        <v>2</v>
      </c>
      <c r="E5" s="37">
        <v>2</v>
      </c>
    </row>
    <row r="6" spans="1:5">
      <c r="A6" t="s">
        <v>60</v>
      </c>
      <c r="B6" s="37">
        <v>7</v>
      </c>
      <c r="C6" s="37" t="s">
        <v>9</v>
      </c>
      <c r="D6" s="37">
        <v>7</v>
      </c>
      <c r="E6" s="37" t="s">
        <v>9</v>
      </c>
    </row>
    <row r="8" spans="1:5">
      <c r="A8" t="s">
        <v>1</v>
      </c>
      <c r="B8" s="37">
        <f>'Config Timing (long)'!D19</f>
        <v>13.31175454637056</v>
      </c>
      <c r="C8" s="37">
        <f>'Config Timing (squeeze MC)'!D19</f>
        <v>13.31175454637056</v>
      </c>
      <c r="D8" s="37">
        <f>'Config Timing (squeeze FPGA)'!D19</f>
        <v>13.31175454637056</v>
      </c>
      <c r="E8" s="37">
        <f>'Config Timing (short)'!D19</f>
        <v>13.31175454637056</v>
      </c>
    </row>
    <row r="9" spans="1:5">
      <c r="A9" t="s">
        <v>0</v>
      </c>
      <c r="B9" s="37">
        <f>'Config Timing (long)'!E75</f>
        <v>127.4117545463705</v>
      </c>
      <c r="C9" s="37">
        <f>'Config Timing (squeeze MC)'!D75</f>
        <v>109.01175454637053</v>
      </c>
      <c r="D9" s="37">
        <f>'Config Timing (squeeze FPGA)'!E75</f>
        <v>95.411754546370531</v>
      </c>
      <c r="E9" s="37">
        <f>'Config Timing (short)'!E75</f>
        <v>79.41175454637056</v>
      </c>
    </row>
    <row r="11" spans="1:5">
      <c r="A11" t="s">
        <v>2</v>
      </c>
      <c r="B11" s="38">
        <f>B9-B8</f>
        <v>114.09999999999994</v>
      </c>
      <c r="C11" s="38">
        <f t="shared" ref="C11:E11" si="0">C9-C8</f>
        <v>95.69999999999996</v>
      </c>
      <c r="D11" s="38">
        <f t="shared" si="0"/>
        <v>82.099999999999966</v>
      </c>
      <c r="E11" s="38">
        <f t="shared" si="0"/>
        <v>66.099999999999994</v>
      </c>
    </row>
    <row r="12" spans="1:5">
      <c r="A12" t="s">
        <v>3</v>
      </c>
      <c r="B12" s="38">
        <f>'Config Timing (long)'!F81</f>
        <v>48</v>
      </c>
      <c r="C12" s="38">
        <f>'Config Timing (squeeze MC)'!F81</f>
        <v>48</v>
      </c>
      <c r="D12" s="38">
        <f>'Config Timing (squeeze FPGA)'!F81</f>
        <v>16</v>
      </c>
      <c r="E12" s="38">
        <f>'Config Timing (short)'!F81</f>
        <v>16</v>
      </c>
    </row>
    <row r="13" spans="1:5">
      <c r="A13" t="s">
        <v>4</v>
      </c>
      <c r="B13" s="38">
        <f>'Config Timing (long)'!F82</f>
        <v>56</v>
      </c>
      <c r="C13" s="38">
        <f>'Config Timing (squeeze MC)'!F82</f>
        <v>38.1</v>
      </c>
      <c r="D13" s="38">
        <f>'Config Timing (squeeze FPGA)'!F82</f>
        <v>56</v>
      </c>
      <c r="E13" s="38">
        <f>'Config Timing (short)'!F82</f>
        <v>38.1</v>
      </c>
    </row>
  </sheetData>
  <phoneticPr fontId="8" type="noConversion"/>
  <pageMargins left="0.75" right="0.75" top="1" bottom="1" header="0.5" footer="0.5"/>
  <pageSetup paperSize="0" orientation="portrait" horizontalDpi="4294967292" verticalDpi="4294967292"/>
  <extLst>
    <ext xmlns:mx="http://schemas.microsoft.com/office/mac/excel/2008/main" uri="http://schemas.microsoft.com/office/mac/excel/2008/main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/>
  <dimension ref="B1:L89"/>
  <sheetViews>
    <sheetView topLeftCell="B1" workbookViewId="0">
      <selection activeCell="F68" sqref="F68"/>
    </sheetView>
  </sheetViews>
  <sheetFormatPr baseColWidth="10" defaultRowHeight="13"/>
  <cols>
    <col min="2" max="2" width="33" style="25" customWidth="1"/>
    <col min="3" max="3" width="10.7109375" style="11"/>
    <col min="4" max="6" width="10.7109375" style="1"/>
    <col min="7" max="7" width="36.42578125" customWidth="1"/>
    <col min="8" max="8" width="47.5703125" style="25" customWidth="1"/>
  </cols>
  <sheetData>
    <row r="1" spans="2:12">
      <c r="B1" s="28" t="s">
        <v>10</v>
      </c>
    </row>
    <row r="2" spans="2:12" s="2" customFormat="1">
      <c r="B2" s="29">
        <v>39690</v>
      </c>
      <c r="C2" s="3" t="s">
        <v>71</v>
      </c>
      <c r="D2" s="3" t="s">
        <v>20</v>
      </c>
      <c r="E2" s="3" t="s">
        <v>21</v>
      </c>
      <c r="F2" s="3" t="s">
        <v>49</v>
      </c>
      <c r="G2" s="2" t="s">
        <v>22</v>
      </c>
      <c r="H2" s="26" t="s">
        <v>86</v>
      </c>
      <c r="I2" s="2" t="s">
        <v>91</v>
      </c>
      <c r="J2" s="2" t="s">
        <v>92</v>
      </c>
      <c r="K2" s="2" t="s">
        <v>93</v>
      </c>
      <c r="L2" s="2" t="s">
        <v>94</v>
      </c>
    </row>
    <row r="3" spans="2:12">
      <c r="C3" s="3" t="s">
        <v>72</v>
      </c>
      <c r="D3" s="1" t="s">
        <v>50</v>
      </c>
      <c r="E3" s="1" t="s">
        <v>50</v>
      </c>
      <c r="F3" s="1" t="s">
        <v>50</v>
      </c>
    </row>
    <row r="4" spans="2:12" ht="18">
      <c r="B4" s="30" t="s">
        <v>15</v>
      </c>
      <c r="C4" s="11">
        <f>3*14*57</f>
        <v>2394</v>
      </c>
      <c r="D4" s="15">
        <v>0</v>
      </c>
      <c r="E4" s="8">
        <f t="shared" ref="E4:E8" si="0">D4+F4</f>
        <v>1.5</v>
      </c>
      <c r="F4" s="7">
        <v>1.5</v>
      </c>
      <c r="G4" t="s">
        <v>19</v>
      </c>
    </row>
    <row r="5" spans="2:12" ht="18">
      <c r="B5" s="31" t="s">
        <v>67</v>
      </c>
      <c r="D5" s="8">
        <f>E4</f>
        <v>1.5</v>
      </c>
      <c r="E5" s="10">
        <f t="shared" si="0"/>
        <v>34.860128000000003</v>
      </c>
      <c r="F5" s="9">
        <f>512*1.05*4096/75000+4</f>
        <v>33.360128000000003</v>
      </c>
      <c r="G5" t="s">
        <v>64</v>
      </c>
      <c r="H5" s="25" t="s">
        <v>52</v>
      </c>
      <c r="K5" t="s">
        <v>95</v>
      </c>
    </row>
    <row r="6" spans="2:12" ht="26">
      <c r="B6" s="25" t="s">
        <v>58</v>
      </c>
      <c r="D6" s="8">
        <f>E4</f>
        <v>1.5</v>
      </c>
      <c r="E6" s="8">
        <f t="shared" si="0"/>
        <v>8.31175454637056</v>
      </c>
      <c r="F6" s="12">
        <f>2*SQRT(1.16/0.1)</f>
        <v>6.81175454637056</v>
      </c>
      <c r="G6" t="s">
        <v>56</v>
      </c>
      <c r="H6" s="25" t="s">
        <v>57</v>
      </c>
    </row>
    <row r="7" spans="2:12" ht="18">
      <c r="B7" s="31" t="s">
        <v>68</v>
      </c>
      <c r="D7" s="8">
        <f>E6</f>
        <v>8.31175454637056</v>
      </c>
      <c r="E7" s="10">
        <f t="shared" si="0"/>
        <v>28.311754546370558</v>
      </c>
      <c r="F7" s="12">
        <v>20</v>
      </c>
      <c r="G7" s="13" t="s">
        <v>16</v>
      </c>
      <c r="H7" s="25" t="s">
        <v>54</v>
      </c>
    </row>
    <row r="8" spans="2:12" ht="26">
      <c r="B8" s="25" t="s">
        <v>24</v>
      </c>
      <c r="D8" s="8">
        <f>D4</f>
        <v>0</v>
      </c>
      <c r="E8" s="8">
        <f t="shared" si="0"/>
        <v>1</v>
      </c>
      <c r="F8" s="12">
        <v>1</v>
      </c>
      <c r="G8" s="13" t="s">
        <v>11</v>
      </c>
      <c r="H8" s="25" t="s">
        <v>45</v>
      </c>
    </row>
    <row r="9" spans="2:12">
      <c r="D9" s="8"/>
      <c r="E9" s="8"/>
      <c r="F9" s="5"/>
    </row>
    <row r="10" spans="2:12">
      <c r="D10" s="8"/>
      <c r="E10" s="8"/>
    </row>
    <row r="11" spans="2:12" ht="26">
      <c r="B11" s="25" t="s">
        <v>90</v>
      </c>
      <c r="D11" s="8">
        <f>E4</f>
        <v>1.5</v>
      </c>
      <c r="E11" s="8">
        <f>D11+F11</f>
        <v>7.5</v>
      </c>
      <c r="F11" s="7">
        <v>6</v>
      </c>
      <c r="G11" t="s">
        <v>48</v>
      </c>
      <c r="H11" s="25" t="s">
        <v>46</v>
      </c>
      <c r="I11" t="s">
        <v>96</v>
      </c>
    </row>
    <row r="12" spans="2:12">
      <c r="B12" s="25" t="s">
        <v>97</v>
      </c>
      <c r="D12" s="8">
        <f>E6</f>
        <v>8.31175454637056</v>
      </c>
      <c r="E12" s="8">
        <f>D12+F12</f>
        <v>13.31175454637056</v>
      </c>
      <c r="F12" s="7">
        <v>5</v>
      </c>
      <c r="I12" t="s">
        <v>99</v>
      </c>
    </row>
    <row r="13" spans="2:12">
      <c r="B13" s="25" t="s">
        <v>30</v>
      </c>
      <c r="D13" s="8">
        <f>E6</f>
        <v>8.31175454637056</v>
      </c>
      <c r="E13" s="8">
        <f>D13+F13</f>
        <v>13.31175454637056</v>
      </c>
      <c r="F13" s="14">
        <f>F12</f>
        <v>5</v>
      </c>
      <c r="H13" s="25" t="s">
        <v>98</v>
      </c>
      <c r="J13" t="s">
        <v>96</v>
      </c>
    </row>
    <row r="14" spans="2:12" ht="26">
      <c r="B14" s="25" t="s">
        <v>32</v>
      </c>
      <c r="D14" s="8">
        <f>E13</f>
        <v>13.31175454637056</v>
      </c>
      <c r="E14" s="8">
        <f t="shared" ref="E14:E17" si="1">D14+F14</f>
        <v>13.81175454637056</v>
      </c>
      <c r="F14" s="7">
        <v>0.5</v>
      </c>
      <c r="G14" t="s">
        <v>44</v>
      </c>
      <c r="H14" s="25" t="s">
        <v>88</v>
      </c>
      <c r="K14" t="s">
        <v>96</v>
      </c>
    </row>
    <row r="15" spans="2:12">
      <c r="B15" s="25" t="s">
        <v>18</v>
      </c>
      <c r="D15" s="8">
        <f>D14+0.1</f>
        <v>13.41175454637056</v>
      </c>
      <c r="E15" s="8">
        <f>MAX(D15+F15,E14+0.1)</f>
        <v>13.91175454637056</v>
      </c>
      <c r="F15" s="7">
        <v>0.5</v>
      </c>
      <c r="G15" s="24" t="s">
        <v>66</v>
      </c>
      <c r="H15" s="25" t="s">
        <v>108</v>
      </c>
      <c r="L15" t="s">
        <v>99</v>
      </c>
    </row>
    <row r="16" spans="2:12" ht="26">
      <c r="B16" s="25" t="s">
        <v>61</v>
      </c>
      <c r="D16" s="8">
        <f>D15+0.1</f>
        <v>13.511754546370559</v>
      </c>
      <c r="E16" s="8">
        <f t="shared" si="1"/>
        <v>14.011754546370559</v>
      </c>
      <c r="F16" s="7">
        <v>0.5</v>
      </c>
      <c r="G16" s="25" t="s">
        <v>70</v>
      </c>
      <c r="H16" s="25" t="s">
        <v>109</v>
      </c>
      <c r="L16" t="s">
        <v>99</v>
      </c>
    </row>
    <row r="17" spans="2:12">
      <c r="B17" s="25" t="s">
        <v>47</v>
      </c>
      <c r="D17" s="8">
        <f>E16</f>
        <v>14.011754546370559</v>
      </c>
      <c r="E17" s="8">
        <f t="shared" si="1"/>
        <v>18.011754546370561</v>
      </c>
      <c r="F17" s="7">
        <v>4</v>
      </c>
      <c r="G17" t="s">
        <v>23</v>
      </c>
      <c r="H17" s="25" t="s">
        <v>34</v>
      </c>
      <c r="L17" t="s">
        <v>96</v>
      </c>
    </row>
    <row r="18" spans="2:12">
      <c r="D18" s="8"/>
      <c r="E18" s="8"/>
      <c r="F18" s="5"/>
    </row>
    <row r="19" spans="2:12" ht="26">
      <c r="B19" s="25" t="s">
        <v>63</v>
      </c>
      <c r="D19" s="8">
        <f>MAX(E8,E13)</f>
        <v>13.31175454637056</v>
      </c>
      <c r="E19" s="8">
        <f t="shared" ref="E19" si="2">D19+F19</f>
        <v>19.311754546370558</v>
      </c>
      <c r="F19" s="11">
        <f>$F$11</f>
        <v>6</v>
      </c>
      <c r="G19" t="s">
        <v>55</v>
      </c>
      <c r="H19" s="25" t="s">
        <v>100</v>
      </c>
      <c r="I19" t="s">
        <v>99</v>
      </c>
    </row>
    <row r="20" spans="2:12">
      <c r="D20" s="8"/>
      <c r="E20" s="8"/>
    </row>
    <row r="21" spans="2:12">
      <c r="B21" s="25" t="s">
        <v>30</v>
      </c>
      <c r="D21" s="8">
        <f>MAX(E19,E14)</f>
        <v>19.311754546370558</v>
      </c>
      <c r="E21" s="8">
        <f t="shared" ref="E21:E75" si="3">D21+F21</f>
        <v>26.311754546370558</v>
      </c>
      <c r="F21" s="7">
        <v>7</v>
      </c>
      <c r="G21" t="s">
        <v>89</v>
      </c>
      <c r="J21" t="s">
        <v>99</v>
      </c>
    </row>
    <row r="22" spans="2:12">
      <c r="B22" s="25" t="s">
        <v>32</v>
      </c>
      <c r="D22" s="8">
        <f>E21</f>
        <v>26.311754546370558</v>
      </c>
      <c r="E22" s="8">
        <f t="shared" si="3"/>
        <v>26.811754546370558</v>
      </c>
      <c r="F22" s="1">
        <f>$F$14</f>
        <v>0.5</v>
      </c>
      <c r="G22" t="s">
        <v>12</v>
      </c>
      <c r="K22" t="s">
        <v>99</v>
      </c>
    </row>
    <row r="23" spans="2:12">
      <c r="B23" s="25" t="s">
        <v>31</v>
      </c>
      <c r="D23" s="8">
        <f>D22+0.1</f>
        <v>26.41175454637056</v>
      </c>
      <c r="E23" s="8">
        <f>MAX(D23+F23,E22+0.1)</f>
        <v>26.91175454637056</v>
      </c>
      <c r="F23" s="1">
        <f>$F$15</f>
        <v>0.5</v>
      </c>
      <c r="G23" t="s">
        <v>12</v>
      </c>
      <c r="L23" t="s">
        <v>96</v>
      </c>
    </row>
    <row r="24" spans="2:12">
      <c r="B24" s="25" t="s">
        <v>61</v>
      </c>
      <c r="D24" s="8">
        <f>D23+0.1</f>
        <v>26.511754546370561</v>
      </c>
      <c r="E24" s="8">
        <f t="shared" si="3"/>
        <v>27.011754546370561</v>
      </c>
      <c r="F24" s="1">
        <f>$F$16</f>
        <v>0.5</v>
      </c>
      <c r="G24" t="s">
        <v>12</v>
      </c>
      <c r="L24" t="s">
        <v>99</v>
      </c>
    </row>
    <row r="25" spans="2:12">
      <c r="B25" s="25" t="s">
        <v>85</v>
      </c>
      <c r="C25" s="11">
        <f>C4</f>
        <v>2394</v>
      </c>
      <c r="D25" s="8">
        <f>MAX(E24,E17)</f>
        <v>27.011754546370561</v>
      </c>
      <c r="E25" s="8">
        <f t="shared" si="3"/>
        <v>27.511754546370561</v>
      </c>
      <c r="F25" s="7">
        <v>0.5</v>
      </c>
      <c r="G25" t="s">
        <v>23</v>
      </c>
      <c r="H25" s="25" t="s">
        <v>87</v>
      </c>
      <c r="L25" t="s">
        <v>99</v>
      </c>
    </row>
    <row r="26" spans="2:12">
      <c r="B26" s="25" t="s">
        <v>27</v>
      </c>
      <c r="D26" s="8">
        <f t="shared" ref="D26" si="4">E25</f>
        <v>27.511754546370561</v>
      </c>
      <c r="E26" s="8">
        <f t="shared" si="3"/>
        <v>33.511754546370561</v>
      </c>
      <c r="F26" s="11">
        <f>$F$11</f>
        <v>6</v>
      </c>
      <c r="G26" t="s">
        <v>13</v>
      </c>
      <c r="I26" t="s">
        <v>99</v>
      </c>
      <c r="J26" s="23"/>
    </row>
    <row r="27" spans="2:12">
      <c r="D27" s="8"/>
      <c r="E27" s="8"/>
    </row>
    <row r="28" spans="2:12">
      <c r="B28" s="25" t="s">
        <v>30</v>
      </c>
      <c r="D28" s="8">
        <f>E26</f>
        <v>33.511754546370561</v>
      </c>
      <c r="E28" s="8">
        <f t="shared" si="3"/>
        <v>40.511754546370561</v>
      </c>
      <c r="F28" s="6">
        <f>F21</f>
        <v>7</v>
      </c>
      <c r="G28" t="s">
        <v>105</v>
      </c>
      <c r="J28" t="s">
        <v>99</v>
      </c>
    </row>
    <row r="29" spans="2:12">
      <c r="B29" s="25" t="s">
        <v>32</v>
      </c>
      <c r="D29" s="8">
        <f>E28</f>
        <v>40.511754546370561</v>
      </c>
      <c r="E29" s="8">
        <f t="shared" si="3"/>
        <v>41.011754546370561</v>
      </c>
      <c r="F29" s="6">
        <f>$F$14</f>
        <v>0.5</v>
      </c>
      <c r="G29" t="s">
        <v>12</v>
      </c>
      <c r="K29" t="s">
        <v>99</v>
      </c>
    </row>
    <row r="30" spans="2:12">
      <c r="B30" s="25" t="s">
        <v>31</v>
      </c>
      <c r="D30" s="8">
        <f>D29+0.1</f>
        <v>40.611754546370562</v>
      </c>
      <c r="E30" s="8">
        <f>MAX(D30+F30,E29+0.1)</f>
        <v>41.111754546370562</v>
      </c>
      <c r="F30" s="1">
        <f>$F$15</f>
        <v>0.5</v>
      </c>
      <c r="G30" t="s">
        <v>12</v>
      </c>
      <c r="L30" t="s">
        <v>96</v>
      </c>
    </row>
    <row r="31" spans="2:12">
      <c r="B31" s="25" t="s">
        <v>61</v>
      </c>
      <c r="D31" s="8">
        <f>D30+0.1</f>
        <v>40.711754546370564</v>
      </c>
      <c r="E31" s="8">
        <f t="shared" si="3"/>
        <v>41.211754546370564</v>
      </c>
      <c r="F31" s="1">
        <f>$F$16</f>
        <v>0.5</v>
      </c>
      <c r="G31" t="s">
        <v>12</v>
      </c>
      <c r="L31" t="s">
        <v>99</v>
      </c>
    </row>
    <row r="32" spans="2:12">
      <c r="B32" s="25" t="s">
        <v>62</v>
      </c>
      <c r="C32" s="11">
        <f>C25</f>
        <v>2394</v>
      </c>
      <c r="D32" s="8">
        <f t="shared" ref="D32:D33" si="5">E31</f>
        <v>41.211754546370564</v>
      </c>
      <c r="E32" s="8">
        <f t="shared" si="3"/>
        <v>41.711754546370564</v>
      </c>
      <c r="F32" s="6">
        <f>$F$25</f>
        <v>0.5</v>
      </c>
      <c r="G32" t="s">
        <v>12</v>
      </c>
      <c r="L32" t="s">
        <v>99</v>
      </c>
    </row>
    <row r="33" spans="2:12">
      <c r="B33" s="25" t="s">
        <v>17</v>
      </c>
      <c r="D33" s="8">
        <f t="shared" si="5"/>
        <v>41.711754546370564</v>
      </c>
      <c r="E33" s="8">
        <f t="shared" si="3"/>
        <v>47.711754546370564</v>
      </c>
      <c r="F33" s="11">
        <f>$F$11</f>
        <v>6</v>
      </c>
      <c r="G33" t="s">
        <v>13</v>
      </c>
      <c r="I33" t="s">
        <v>99</v>
      </c>
      <c r="J33" s="23"/>
    </row>
    <row r="34" spans="2:12">
      <c r="D34" s="8"/>
      <c r="E34" s="8"/>
      <c r="F34" s="6"/>
    </row>
    <row r="35" spans="2:12">
      <c r="B35" s="25" t="s">
        <v>30</v>
      </c>
      <c r="D35" s="8">
        <f>E33</f>
        <v>47.711754546370564</v>
      </c>
      <c r="E35" s="8">
        <f t="shared" si="3"/>
        <v>54.711754546370564</v>
      </c>
      <c r="F35" s="36">
        <f>F28</f>
        <v>7</v>
      </c>
      <c r="G35" t="s">
        <v>105</v>
      </c>
      <c r="J35" t="s">
        <v>99</v>
      </c>
    </row>
    <row r="36" spans="2:12">
      <c r="B36" s="25" t="s">
        <v>32</v>
      </c>
      <c r="D36" s="8">
        <f>E35</f>
        <v>54.711754546370564</v>
      </c>
      <c r="E36" s="8">
        <f t="shared" si="3"/>
        <v>55.211754546370564</v>
      </c>
      <c r="F36" s="6">
        <f>$F$14</f>
        <v>0.5</v>
      </c>
      <c r="G36" t="s">
        <v>12</v>
      </c>
      <c r="K36" t="s">
        <v>99</v>
      </c>
    </row>
    <row r="37" spans="2:12">
      <c r="B37" s="25" t="s">
        <v>31</v>
      </c>
      <c r="D37" s="8">
        <f>D36+0.1</f>
        <v>54.811754546370565</v>
      </c>
      <c r="E37" s="8">
        <f>MAX(D37+F37,E36+0.1)</f>
        <v>55.311754546370565</v>
      </c>
      <c r="F37" s="1">
        <f>$F$15</f>
        <v>0.5</v>
      </c>
      <c r="G37" t="s">
        <v>12</v>
      </c>
      <c r="L37" t="s">
        <v>96</v>
      </c>
    </row>
    <row r="38" spans="2:12">
      <c r="B38" s="25" t="s">
        <v>61</v>
      </c>
      <c r="D38" s="8">
        <f>D37+0.1</f>
        <v>54.911754546370567</v>
      </c>
      <c r="E38" s="8">
        <f t="shared" si="3"/>
        <v>55.411754546370567</v>
      </c>
      <c r="F38" s="1">
        <f>$F$16</f>
        <v>0.5</v>
      </c>
      <c r="G38" t="s">
        <v>12</v>
      </c>
      <c r="L38" t="s">
        <v>99</v>
      </c>
    </row>
    <row r="39" spans="2:12">
      <c r="B39" s="25" t="s">
        <v>62</v>
      </c>
      <c r="C39" s="11">
        <f>C32</f>
        <v>2394</v>
      </c>
      <c r="D39" s="8">
        <f t="shared" ref="D39:D40" si="6">E38</f>
        <v>55.411754546370567</v>
      </c>
      <c r="E39" s="8">
        <f t="shared" si="3"/>
        <v>55.911754546370567</v>
      </c>
      <c r="F39" s="6">
        <f>$F$25</f>
        <v>0.5</v>
      </c>
      <c r="G39" t="s">
        <v>12</v>
      </c>
      <c r="L39" t="s">
        <v>99</v>
      </c>
    </row>
    <row r="40" spans="2:12">
      <c r="B40" s="25" t="s">
        <v>26</v>
      </c>
      <c r="D40" s="8">
        <f t="shared" si="6"/>
        <v>55.911754546370567</v>
      </c>
      <c r="E40" s="8">
        <f t="shared" si="3"/>
        <v>61.911754546370567</v>
      </c>
      <c r="F40" s="11">
        <f>$F$11</f>
        <v>6</v>
      </c>
      <c r="G40" t="s">
        <v>13</v>
      </c>
      <c r="I40" t="s">
        <v>99</v>
      </c>
      <c r="J40" s="23"/>
    </row>
    <row r="41" spans="2:12">
      <c r="D41" s="8"/>
      <c r="E41" s="8"/>
      <c r="F41" s="6"/>
    </row>
    <row r="42" spans="2:12" ht="26">
      <c r="B42" s="25" t="s">
        <v>30</v>
      </c>
      <c r="D42" s="8">
        <f>E40</f>
        <v>61.911754546370567</v>
      </c>
      <c r="E42" s="8">
        <f t="shared" si="3"/>
        <v>68.91175454637056</v>
      </c>
      <c r="F42" s="7">
        <v>7</v>
      </c>
      <c r="G42" t="s">
        <v>104</v>
      </c>
      <c r="H42" s="25" t="s">
        <v>107</v>
      </c>
      <c r="J42" t="s">
        <v>99</v>
      </c>
    </row>
    <row r="43" spans="2:12">
      <c r="B43" s="25" t="s">
        <v>32</v>
      </c>
      <c r="D43" s="8">
        <f>E42</f>
        <v>68.91175454637056</v>
      </c>
      <c r="E43" s="8">
        <f t="shared" si="3"/>
        <v>69.41175454637056</v>
      </c>
      <c r="F43" s="6">
        <f>$F$14</f>
        <v>0.5</v>
      </c>
      <c r="G43" t="s">
        <v>12</v>
      </c>
      <c r="K43" t="s">
        <v>99</v>
      </c>
    </row>
    <row r="44" spans="2:12">
      <c r="B44" s="25" t="s">
        <v>31</v>
      </c>
      <c r="D44" s="8">
        <f>D43+0.1</f>
        <v>69.011754546370554</v>
      </c>
      <c r="E44" s="8">
        <f>MAX(D44+F44,E43+0.1)</f>
        <v>69.511754546370554</v>
      </c>
      <c r="F44" s="1">
        <f>$F$15</f>
        <v>0.5</v>
      </c>
      <c r="G44" t="s">
        <v>12</v>
      </c>
      <c r="L44" t="s">
        <v>96</v>
      </c>
    </row>
    <row r="45" spans="2:12">
      <c r="B45" s="25" t="s">
        <v>61</v>
      </c>
      <c r="D45" s="8">
        <f>D44+0.1</f>
        <v>69.111754546370548</v>
      </c>
      <c r="E45" s="8">
        <f t="shared" si="3"/>
        <v>69.611754546370548</v>
      </c>
      <c r="F45" s="1">
        <f>$F$16</f>
        <v>0.5</v>
      </c>
      <c r="G45" t="s">
        <v>12</v>
      </c>
      <c r="L45" t="s">
        <v>99</v>
      </c>
    </row>
    <row r="46" spans="2:12">
      <c r="B46" s="25" t="s">
        <v>62</v>
      </c>
      <c r="C46" s="11">
        <f>C39</f>
        <v>2394</v>
      </c>
      <c r="D46" s="8">
        <f t="shared" ref="D46:D47" si="7">E45</f>
        <v>69.611754546370548</v>
      </c>
      <c r="E46" s="8">
        <f t="shared" si="3"/>
        <v>70.111754546370548</v>
      </c>
      <c r="F46" s="6">
        <f>$F$25</f>
        <v>0.5</v>
      </c>
      <c r="G46" t="s">
        <v>12</v>
      </c>
      <c r="L46" t="s">
        <v>99</v>
      </c>
    </row>
    <row r="47" spans="2:12">
      <c r="B47" s="25" t="s">
        <v>25</v>
      </c>
      <c r="D47" s="8">
        <f t="shared" si="7"/>
        <v>70.111754546370548</v>
      </c>
      <c r="E47" s="8">
        <f t="shared" si="3"/>
        <v>76.111754546370548</v>
      </c>
      <c r="F47" s="11">
        <f>$F$11</f>
        <v>6</v>
      </c>
      <c r="G47" t="s">
        <v>13</v>
      </c>
      <c r="I47" t="s">
        <v>99</v>
      </c>
      <c r="J47" s="23"/>
    </row>
    <row r="48" spans="2:12">
      <c r="D48" s="8"/>
      <c r="E48" s="8"/>
      <c r="F48" s="6"/>
    </row>
    <row r="49" spans="2:12">
      <c r="B49" s="25" t="s">
        <v>30</v>
      </c>
      <c r="D49" s="8">
        <f>E47</f>
        <v>76.111754546370548</v>
      </c>
      <c r="E49" s="8">
        <f t="shared" si="3"/>
        <v>83.111754546370548</v>
      </c>
      <c r="F49" s="6">
        <f>$F$42</f>
        <v>7</v>
      </c>
      <c r="G49" t="s">
        <v>106</v>
      </c>
      <c r="J49" t="s">
        <v>99</v>
      </c>
    </row>
    <row r="50" spans="2:12">
      <c r="B50" s="25" t="s">
        <v>32</v>
      </c>
      <c r="D50" s="8">
        <f>E49</f>
        <v>83.111754546370548</v>
      </c>
      <c r="E50" s="8">
        <f t="shared" si="3"/>
        <v>83.611754546370548</v>
      </c>
      <c r="F50" s="6">
        <f>$F$14</f>
        <v>0.5</v>
      </c>
      <c r="G50" t="s">
        <v>12</v>
      </c>
      <c r="K50" t="s">
        <v>99</v>
      </c>
    </row>
    <row r="51" spans="2:12">
      <c r="B51" s="25" t="s">
        <v>31</v>
      </c>
      <c r="D51" s="8">
        <f>D50+0.1</f>
        <v>83.211754546370543</v>
      </c>
      <c r="E51" s="8">
        <f>MAX(D51+F51,E50+0.1)</f>
        <v>83.711754546370543</v>
      </c>
      <c r="F51" s="1">
        <f>$F$15</f>
        <v>0.5</v>
      </c>
      <c r="G51" t="s">
        <v>12</v>
      </c>
      <c r="L51" t="s">
        <v>96</v>
      </c>
    </row>
    <row r="52" spans="2:12">
      <c r="B52" s="25" t="s">
        <v>61</v>
      </c>
      <c r="D52" s="8">
        <f>D51+0.1</f>
        <v>83.311754546370537</v>
      </c>
      <c r="E52" s="8">
        <f t="shared" si="3"/>
        <v>83.811754546370537</v>
      </c>
      <c r="F52" s="1">
        <f>$F$16</f>
        <v>0.5</v>
      </c>
      <c r="G52" t="s">
        <v>12</v>
      </c>
      <c r="L52" t="s">
        <v>99</v>
      </c>
    </row>
    <row r="53" spans="2:12">
      <c r="B53" s="25" t="s">
        <v>62</v>
      </c>
      <c r="C53" s="11">
        <f>ROUND(0.1*C46,0)</f>
        <v>239</v>
      </c>
      <c r="D53" s="8">
        <f t="shared" ref="D53:D54" si="8">E52</f>
        <v>83.811754546370537</v>
      </c>
      <c r="E53" s="8">
        <f t="shared" si="3"/>
        <v>84.311754546370537</v>
      </c>
      <c r="F53" s="6">
        <f>$F$25</f>
        <v>0.5</v>
      </c>
      <c r="G53" t="s">
        <v>12</v>
      </c>
      <c r="L53" t="s">
        <v>99</v>
      </c>
    </row>
    <row r="54" spans="2:12">
      <c r="B54" s="25" t="s">
        <v>28</v>
      </c>
      <c r="D54" s="8">
        <f t="shared" si="8"/>
        <v>84.311754546370537</v>
      </c>
      <c r="E54" s="8">
        <f t="shared" si="3"/>
        <v>90.311754546370537</v>
      </c>
      <c r="F54" s="11">
        <f>$F$11</f>
        <v>6</v>
      </c>
      <c r="G54" t="s">
        <v>13</v>
      </c>
      <c r="I54" t="s">
        <v>99</v>
      </c>
      <c r="J54" s="23"/>
    </row>
    <row r="55" spans="2:12">
      <c r="D55" s="8"/>
      <c r="E55" s="8"/>
      <c r="F55" s="6"/>
    </row>
    <row r="56" spans="2:12">
      <c r="B56" s="25" t="s">
        <v>30</v>
      </c>
      <c r="D56" s="8">
        <f>E54</f>
        <v>90.311754546370537</v>
      </c>
      <c r="E56" s="8">
        <f t="shared" si="3"/>
        <v>97.311754546370537</v>
      </c>
      <c r="F56" s="6">
        <f>$F$49</f>
        <v>7</v>
      </c>
      <c r="G56" t="s">
        <v>12</v>
      </c>
      <c r="J56" t="s">
        <v>99</v>
      </c>
    </row>
    <row r="57" spans="2:12">
      <c r="B57" s="25" t="s">
        <v>32</v>
      </c>
      <c r="D57" s="8">
        <f>E56</f>
        <v>97.311754546370537</v>
      </c>
      <c r="E57" s="8">
        <f t="shared" si="3"/>
        <v>97.811754546370537</v>
      </c>
      <c r="F57" s="6">
        <f>$F$14</f>
        <v>0.5</v>
      </c>
      <c r="G57" t="s">
        <v>12</v>
      </c>
      <c r="K57" t="s">
        <v>99</v>
      </c>
    </row>
    <row r="58" spans="2:12">
      <c r="B58" s="25" t="s">
        <v>31</v>
      </c>
      <c r="D58" s="8">
        <f>D57+0.1</f>
        <v>97.411754546370531</v>
      </c>
      <c r="E58" s="8">
        <f>MAX(D58+F58,E57+0.1)</f>
        <v>97.911754546370531</v>
      </c>
      <c r="F58" s="1">
        <f>$F$15</f>
        <v>0.5</v>
      </c>
      <c r="G58" t="s">
        <v>12</v>
      </c>
      <c r="L58" t="s">
        <v>96</v>
      </c>
    </row>
    <row r="59" spans="2:12">
      <c r="B59" s="25" t="s">
        <v>61</v>
      </c>
      <c r="D59" s="8">
        <f>D58+0.1</f>
        <v>97.511754546370526</v>
      </c>
      <c r="E59" s="8">
        <f t="shared" si="3"/>
        <v>98.011754546370526</v>
      </c>
      <c r="F59" s="1">
        <f>$F$16</f>
        <v>0.5</v>
      </c>
      <c r="G59" t="s">
        <v>12</v>
      </c>
      <c r="L59" t="s">
        <v>99</v>
      </c>
    </row>
    <row r="60" spans="2:12">
      <c r="B60" s="25" t="s">
        <v>62</v>
      </c>
      <c r="C60" s="11">
        <f>ROUND(0.1*C53,0)</f>
        <v>24</v>
      </c>
      <c r="D60" s="8">
        <f t="shared" ref="D60:D61" si="9">E59</f>
        <v>98.011754546370526</v>
      </c>
      <c r="E60" s="8">
        <f t="shared" si="3"/>
        <v>98.511754546370526</v>
      </c>
      <c r="F60" s="6">
        <f>$F$25</f>
        <v>0.5</v>
      </c>
      <c r="G60" t="s">
        <v>12</v>
      </c>
      <c r="L60" t="s">
        <v>99</v>
      </c>
    </row>
    <row r="61" spans="2:12">
      <c r="B61" s="25" t="s">
        <v>29</v>
      </c>
      <c r="D61" s="8">
        <f t="shared" si="9"/>
        <v>98.511754546370526</v>
      </c>
      <c r="E61" s="8">
        <f t="shared" si="3"/>
        <v>104.51175454637053</v>
      </c>
      <c r="F61" s="11">
        <f>$F$11</f>
        <v>6</v>
      </c>
      <c r="G61" t="s">
        <v>13</v>
      </c>
      <c r="I61" t="s">
        <v>99</v>
      </c>
      <c r="J61" s="23"/>
    </row>
    <row r="62" spans="2:12">
      <c r="D62" s="8"/>
      <c r="E62" s="8"/>
      <c r="F62" s="6"/>
    </row>
    <row r="63" spans="2:12">
      <c r="B63" s="25" t="s">
        <v>30</v>
      </c>
      <c r="D63" s="8">
        <f>E61</f>
        <v>104.51175454637053</v>
      </c>
      <c r="E63" s="8">
        <f t="shared" ref="E63:E64" si="10">D63+F63</f>
        <v>111.51175454637053</v>
      </c>
      <c r="F63" s="6">
        <f>$F$49</f>
        <v>7</v>
      </c>
      <c r="G63" t="s">
        <v>12</v>
      </c>
      <c r="J63" t="s">
        <v>99</v>
      </c>
    </row>
    <row r="64" spans="2:12">
      <c r="B64" s="25" t="s">
        <v>32</v>
      </c>
      <c r="D64" s="8">
        <f>E63</f>
        <v>111.51175454637053</v>
      </c>
      <c r="E64" s="8">
        <f t="shared" si="10"/>
        <v>112.01175454637053</v>
      </c>
      <c r="F64" s="6">
        <f>$F$14</f>
        <v>0.5</v>
      </c>
      <c r="G64" t="s">
        <v>12</v>
      </c>
      <c r="K64" t="s">
        <v>99</v>
      </c>
    </row>
    <row r="65" spans="2:12">
      <c r="B65" s="25" t="s">
        <v>31</v>
      </c>
      <c r="D65" s="8">
        <f>D64+0.1</f>
        <v>111.61175454637052</v>
      </c>
      <c r="E65" s="8">
        <f>MAX(D65+F65,E64+0.1)</f>
        <v>112.11175454637052</v>
      </c>
      <c r="F65" s="1">
        <f>$F$15</f>
        <v>0.5</v>
      </c>
      <c r="G65" t="s">
        <v>12</v>
      </c>
      <c r="L65" t="s">
        <v>96</v>
      </c>
    </row>
    <row r="66" spans="2:12">
      <c r="B66" s="25" t="s">
        <v>61</v>
      </c>
      <c r="D66" s="8">
        <f>D65+0.1</f>
        <v>111.71175454637051</v>
      </c>
      <c r="E66" s="8">
        <f t="shared" ref="E66:E68" si="11">D66+F66</f>
        <v>112.21175454637051</v>
      </c>
      <c r="F66" s="1">
        <f>$F$16</f>
        <v>0.5</v>
      </c>
      <c r="G66" t="s">
        <v>12</v>
      </c>
      <c r="L66" t="s">
        <v>99</v>
      </c>
    </row>
    <row r="67" spans="2:12">
      <c r="B67" s="25" t="s">
        <v>62</v>
      </c>
      <c r="C67" s="11">
        <f>ROUND(0.1*C60,0)</f>
        <v>2</v>
      </c>
      <c r="D67" s="8">
        <f t="shared" ref="D67:D68" si="12">E66</f>
        <v>112.21175454637051</v>
      </c>
      <c r="E67" s="8">
        <f t="shared" si="11"/>
        <v>112.71175454637051</v>
      </c>
      <c r="F67" s="6">
        <f>$F$25</f>
        <v>0.5</v>
      </c>
      <c r="G67" t="s">
        <v>12</v>
      </c>
      <c r="L67" t="s">
        <v>99</v>
      </c>
    </row>
    <row r="68" spans="2:12">
      <c r="B68" s="25" t="s">
        <v>53</v>
      </c>
      <c r="D68" s="8">
        <f t="shared" si="12"/>
        <v>112.71175454637051</v>
      </c>
      <c r="E68" s="8">
        <f t="shared" si="11"/>
        <v>118.71175454637051</v>
      </c>
      <c r="F68" s="11">
        <f>$F$11</f>
        <v>6</v>
      </c>
      <c r="G68" t="s">
        <v>13</v>
      </c>
      <c r="I68" t="s">
        <v>99</v>
      </c>
      <c r="J68" s="23"/>
    </row>
    <row r="69" spans="2:12">
      <c r="D69" s="8"/>
      <c r="E69" s="8"/>
      <c r="F69" s="6"/>
    </row>
    <row r="70" spans="2:12">
      <c r="B70" s="25" t="s">
        <v>30</v>
      </c>
      <c r="D70" s="8">
        <f>E68</f>
        <v>118.71175454637051</v>
      </c>
      <c r="E70" s="8">
        <f t="shared" ref="E70:E71" si="13">D70+F70</f>
        <v>125.71175454637051</v>
      </c>
      <c r="F70" s="6">
        <f>$F$49</f>
        <v>7</v>
      </c>
      <c r="G70" t="s">
        <v>12</v>
      </c>
      <c r="J70" t="s">
        <v>99</v>
      </c>
    </row>
    <row r="71" spans="2:12">
      <c r="B71" s="25" t="s">
        <v>32</v>
      </c>
      <c r="D71" s="8">
        <f>E70</f>
        <v>125.71175454637051</v>
      </c>
      <c r="E71" s="8">
        <f t="shared" si="13"/>
        <v>126.21175454637051</v>
      </c>
      <c r="F71" s="6">
        <f>$F$14</f>
        <v>0.5</v>
      </c>
      <c r="G71" t="s">
        <v>12</v>
      </c>
      <c r="K71" t="s">
        <v>99</v>
      </c>
    </row>
    <row r="72" spans="2:12">
      <c r="B72" s="25" t="s">
        <v>31</v>
      </c>
      <c r="D72" s="8">
        <f>D71+0.1</f>
        <v>125.81175454637051</v>
      </c>
      <c r="E72" s="8">
        <f>MAX(D72+F72,E71+0.1)</f>
        <v>126.31175454637051</v>
      </c>
      <c r="F72" s="1">
        <f>$F$15</f>
        <v>0.5</v>
      </c>
      <c r="G72" t="s">
        <v>12</v>
      </c>
      <c r="L72" t="s">
        <v>96</v>
      </c>
    </row>
    <row r="73" spans="2:12">
      <c r="B73" s="25" t="s">
        <v>61</v>
      </c>
      <c r="D73" s="8">
        <f>D72+0.1</f>
        <v>125.9117545463705</v>
      </c>
      <c r="E73" s="8">
        <f t="shared" ref="E73:E74" si="14">D73+F73</f>
        <v>126.4117545463705</v>
      </c>
      <c r="F73" s="1">
        <f>$F$16</f>
        <v>0.5</v>
      </c>
      <c r="G73" t="s">
        <v>12</v>
      </c>
      <c r="L73" t="s">
        <v>99</v>
      </c>
    </row>
    <row r="74" spans="2:12">
      <c r="B74" s="25" t="s">
        <v>62</v>
      </c>
      <c r="C74" s="11">
        <f>ROUND(0.1*C67,0)</f>
        <v>0</v>
      </c>
      <c r="D74" s="8">
        <f t="shared" ref="D74" si="15">E73</f>
        <v>126.4117545463705</v>
      </c>
      <c r="E74" s="8">
        <f t="shared" si="14"/>
        <v>126.9117545463705</v>
      </c>
      <c r="F74" s="6">
        <f>$F$25</f>
        <v>0.5</v>
      </c>
      <c r="G74" t="s">
        <v>12</v>
      </c>
      <c r="L74" t="s">
        <v>99</v>
      </c>
    </row>
    <row r="75" spans="2:12">
      <c r="B75" s="25" t="s">
        <v>33</v>
      </c>
      <c r="D75" s="8">
        <f>E74</f>
        <v>126.9117545463705</v>
      </c>
      <c r="E75" s="8">
        <f t="shared" si="3"/>
        <v>127.4117545463705</v>
      </c>
      <c r="F75" s="7">
        <v>0.5</v>
      </c>
      <c r="J75" s="23"/>
      <c r="L75" t="s">
        <v>99</v>
      </c>
    </row>
    <row r="76" spans="2:12" ht="27">
      <c r="B76" s="32" t="s">
        <v>65</v>
      </c>
      <c r="C76" s="11">
        <f>C74</f>
        <v>0</v>
      </c>
      <c r="D76" s="8"/>
      <c r="E76" s="10">
        <f>E75</f>
        <v>127.4117545463705</v>
      </c>
      <c r="F76" s="6"/>
      <c r="H76" s="26" t="s">
        <v>51</v>
      </c>
    </row>
    <row r="77" spans="2:12" ht="18">
      <c r="B77" s="30" t="s">
        <v>14</v>
      </c>
      <c r="D77" s="15">
        <f>MAX(E76,E7,E5)</f>
        <v>127.4117545463705</v>
      </c>
      <c r="E77" s="8"/>
      <c r="F77" s="6"/>
    </row>
    <row r="78" spans="2:12">
      <c r="E78" s="8"/>
    </row>
    <row r="79" spans="2:12" ht="18">
      <c r="B79" s="33" t="s">
        <v>69</v>
      </c>
      <c r="D79" s="19"/>
      <c r="E79" s="19"/>
      <c r="F79" s="17"/>
      <c r="G79" s="18"/>
      <c r="H79" s="27"/>
    </row>
    <row r="80" spans="2:12" ht="18">
      <c r="B80" s="34" t="s">
        <v>35</v>
      </c>
      <c r="D80" s="19"/>
      <c r="E80" s="19"/>
      <c r="F80" s="19">
        <f>F4</f>
        <v>1.5</v>
      </c>
      <c r="G80" s="22" t="s">
        <v>43</v>
      </c>
      <c r="H80" s="27"/>
    </row>
    <row r="81" spans="2:8" ht="18">
      <c r="B81" s="34" t="s">
        <v>36</v>
      </c>
      <c r="D81" s="19"/>
      <c r="E81" s="19"/>
      <c r="F81" s="19">
        <f>F19+F26+F33+F40+F47+F54+F61+F68</f>
        <v>48</v>
      </c>
      <c r="G81" s="18"/>
      <c r="H81" s="27"/>
    </row>
    <row r="82" spans="2:8" ht="18">
      <c r="B82" s="34" t="s">
        <v>37</v>
      </c>
      <c r="D82" s="19"/>
      <c r="E82" s="19"/>
      <c r="F82" s="19">
        <f>F70+F63+F56+F49+F42+F35+F28+F21</f>
        <v>56</v>
      </c>
      <c r="G82" s="18"/>
      <c r="H82" s="27"/>
    </row>
    <row r="83" spans="2:8" ht="18">
      <c r="B83" s="34" t="s">
        <v>38</v>
      </c>
      <c r="D83" s="19"/>
      <c r="E83" s="19"/>
      <c r="F83" s="19">
        <f>F14*10</f>
        <v>5</v>
      </c>
      <c r="G83" s="18"/>
      <c r="H83" s="27"/>
    </row>
    <row r="84" spans="2:8" ht="18">
      <c r="B84" s="34" t="s">
        <v>39</v>
      </c>
      <c r="D84" s="19"/>
      <c r="E84" s="19"/>
      <c r="F84" s="19">
        <f>(D16-D14)*10</f>
        <v>1.9999999999999929</v>
      </c>
      <c r="G84" s="22" t="s">
        <v>42</v>
      </c>
      <c r="H84" s="27"/>
    </row>
    <row r="85" spans="2:8" ht="36">
      <c r="B85" s="34" t="s">
        <v>40</v>
      </c>
      <c r="D85" s="20"/>
      <c r="E85" s="19"/>
      <c r="F85" s="19">
        <f>E76-F81-F82-F83-F84-F80</f>
        <v>14.91175454637051</v>
      </c>
      <c r="G85" s="18"/>
      <c r="H85" s="27"/>
    </row>
    <row r="86" spans="2:8" ht="19" thickBot="1">
      <c r="B86" s="35"/>
      <c r="D86" s="19"/>
      <c r="E86" s="19"/>
      <c r="F86" s="21">
        <f>SUM(F80:F85)</f>
        <v>127.4117545463705</v>
      </c>
      <c r="G86" s="18" t="s">
        <v>41</v>
      </c>
      <c r="H86" s="27"/>
    </row>
    <row r="87" spans="2:8" ht="14" thickTop="1">
      <c r="D87" s="8"/>
      <c r="E87" s="8"/>
    </row>
    <row r="88" spans="2:8">
      <c r="D88" s="8"/>
      <c r="E88" s="8"/>
    </row>
    <row r="89" spans="2:8">
      <c r="D89" s="8"/>
      <c r="E89" s="8"/>
    </row>
  </sheetData>
  <phoneticPr fontId="8" type="noConversion"/>
  <pageMargins left="0.75" right="0.75" top="1" bottom="1" header="0.5" footer="0.5"/>
  <pageSetup paperSize="0" orientation="portrait" horizontalDpi="4294967292" verticalDpi="4294967292"/>
  <extLst>
    <ext xmlns:mx="http://schemas.microsoft.com/office/mac/excel/2008/main" uri="http://schemas.microsoft.com/office/mac/excel/2008/main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/>
  <dimension ref="B1:L89"/>
  <sheetViews>
    <sheetView topLeftCell="B15" workbookViewId="0">
      <selection activeCell="F72" sqref="F72"/>
    </sheetView>
  </sheetViews>
  <sheetFormatPr baseColWidth="10" defaultRowHeight="13"/>
  <cols>
    <col min="2" max="2" width="33" style="25" customWidth="1"/>
    <col min="3" max="3" width="10.7109375" style="11"/>
    <col min="4" max="6" width="10.7109375" style="1"/>
    <col min="7" max="7" width="36.42578125" customWidth="1"/>
    <col min="8" max="8" width="47.5703125" style="25" customWidth="1"/>
  </cols>
  <sheetData>
    <row r="1" spans="2:12">
      <c r="B1" s="28" t="s">
        <v>10</v>
      </c>
    </row>
    <row r="2" spans="2:12" s="2" customFormat="1">
      <c r="B2" s="29">
        <v>39690</v>
      </c>
      <c r="C2" s="3" t="s">
        <v>71</v>
      </c>
      <c r="D2" s="3" t="s">
        <v>20</v>
      </c>
      <c r="E2" s="3" t="s">
        <v>21</v>
      </c>
      <c r="F2" s="3" t="s">
        <v>49</v>
      </c>
      <c r="G2" s="2" t="s">
        <v>22</v>
      </c>
      <c r="H2" s="26" t="s">
        <v>86</v>
      </c>
      <c r="I2" s="2" t="s">
        <v>91</v>
      </c>
      <c r="J2" s="2" t="s">
        <v>92</v>
      </c>
      <c r="K2" s="2" t="s">
        <v>93</v>
      </c>
      <c r="L2" s="2" t="s">
        <v>94</v>
      </c>
    </row>
    <row r="3" spans="2:12">
      <c r="C3" s="3" t="s">
        <v>72</v>
      </c>
      <c r="D3" s="1" t="s">
        <v>50</v>
      </c>
      <c r="E3" s="1" t="s">
        <v>50</v>
      </c>
      <c r="F3" s="1" t="s">
        <v>50</v>
      </c>
    </row>
    <row r="4" spans="2:12" ht="18">
      <c r="B4" s="30" t="s">
        <v>15</v>
      </c>
      <c r="C4" s="11">
        <f>3*14*57</f>
        <v>2394</v>
      </c>
      <c r="D4" s="15">
        <v>0</v>
      </c>
      <c r="E4" s="8">
        <f t="shared" ref="E4:E8" si="0">D4+F4</f>
        <v>1.5</v>
      </c>
      <c r="F4" s="7">
        <v>1.5</v>
      </c>
      <c r="G4" t="s">
        <v>19</v>
      </c>
    </row>
    <row r="5" spans="2:12" ht="18">
      <c r="B5" s="31" t="s">
        <v>67</v>
      </c>
      <c r="D5" s="8">
        <f>E4</f>
        <v>1.5</v>
      </c>
      <c r="E5" s="10">
        <f t="shared" si="0"/>
        <v>34.860128000000003</v>
      </c>
      <c r="F5" s="9">
        <f>512*1.05*4096/75000+4</f>
        <v>33.360128000000003</v>
      </c>
      <c r="G5" t="s">
        <v>64</v>
      </c>
      <c r="H5" s="25" t="s">
        <v>52</v>
      </c>
      <c r="K5" t="s">
        <v>95</v>
      </c>
    </row>
    <row r="6" spans="2:12" ht="26">
      <c r="B6" s="25" t="s">
        <v>58</v>
      </c>
      <c r="D6" s="8">
        <f>E4</f>
        <v>1.5</v>
      </c>
      <c r="E6" s="8">
        <f t="shared" si="0"/>
        <v>8.31175454637056</v>
      </c>
      <c r="F6" s="12">
        <f>2*SQRT(1.16/0.1)</f>
        <v>6.81175454637056</v>
      </c>
      <c r="G6" t="s">
        <v>56</v>
      </c>
      <c r="H6" s="25" t="s">
        <v>57</v>
      </c>
    </row>
    <row r="7" spans="2:12" ht="18">
      <c r="B7" s="31" t="s">
        <v>68</v>
      </c>
      <c r="D7" s="8">
        <f>E6</f>
        <v>8.31175454637056</v>
      </c>
      <c r="E7" s="10">
        <f t="shared" si="0"/>
        <v>28.311754546370558</v>
      </c>
      <c r="F7" s="12">
        <v>20</v>
      </c>
      <c r="G7" s="13" t="s">
        <v>16</v>
      </c>
      <c r="H7" s="25" t="s">
        <v>54</v>
      </c>
    </row>
    <row r="8" spans="2:12" ht="26">
      <c r="B8" s="25" t="s">
        <v>24</v>
      </c>
      <c r="D8" s="8">
        <f>D4</f>
        <v>0</v>
      </c>
      <c r="E8" s="8">
        <f t="shared" si="0"/>
        <v>1</v>
      </c>
      <c r="F8" s="12">
        <v>1</v>
      </c>
      <c r="G8" s="13" t="s">
        <v>11</v>
      </c>
      <c r="H8" s="25" t="s">
        <v>45</v>
      </c>
    </row>
    <row r="9" spans="2:12">
      <c r="D9" s="8"/>
      <c r="E9" s="8"/>
      <c r="F9" s="5"/>
    </row>
    <row r="10" spans="2:12">
      <c r="D10" s="8"/>
      <c r="E10" s="8"/>
    </row>
    <row r="11" spans="2:12" ht="26">
      <c r="B11" s="25" t="s">
        <v>90</v>
      </c>
      <c r="D11" s="8">
        <f>E4</f>
        <v>1.5</v>
      </c>
      <c r="E11" s="8">
        <f>D11+F11</f>
        <v>7.5</v>
      </c>
      <c r="F11" s="7">
        <v>6</v>
      </c>
      <c r="G11" t="s">
        <v>48</v>
      </c>
      <c r="H11" s="25" t="s">
        <v>46</v>
      </c>
      <c r="I11" t="s">
        <v>96</v>
      </c>
    </row>
    <row r="12" spans="2:12">
      <c r="B12" s="25" t="s">
        <v>97</v>
      </c>
      <c r="D12" s="8">
        <f>E6</f>
        <v>8.31175454637056</v>
      </c>
      <c r="E12" s="8">
        <f>D12+F12</f>
        <v>13.31175454637056</v>
      </c>
      <c r="F12" s="7">
        <v>5</v>
      </c>
      <c r="I12" t="s">
        <v>99</v>
      </c>
    </row>
    <row r="13" spans="2:12">
      <c r="B13" s="25" t="s">
        <v>30</v>
      </c>
      <c r="D13" s="8">
        <f>E6</f>
        <v>8.31175454637056</v>
      </c>
      <c r="E13" s="8">
        <f>D13+F13</f>
        <v>13.31175454637056</v>
      </c>
      <c r="F13" s="14">
        <f>F12</f>
        <v>5</v>
      </c>
      <c r="H13" s="25" t="s">
        <v>98</v>
      </c>
      <c r="J13" t="s">
        <v>96</v>
      </c>
    </row>
    <row r="14" spans="2:12" ht="26">
      <c r="B14" s="25" t="s">
        <v>32</v>
      </c>
      <c r="D14" s="8">
        <f>E13</f>
        <v>13.31175454637056</v>
      </c>
      <c r="E14" s="8">
        <f t="shared" ref="E14:E17" si="1">D14+F14</f>
        <v>13.81175454637056</v>
      </c>
      <c r="F14" s="7">
        <v>0.5</v>
      </c>
      <c r="G14" t="s">
        <v>44</v>
      </c>
      <c r="H14" s="25" t="s">
        <v>88</v>
      </c>
      <c r="K14" t="s">
        <v>96</v>
      </c>
    </row>
    <row r="15" spans="2:12">
      <c r="B15" s="25" t="s">
        <v>18</v>
      </c>
      <c r="D15" s="8">
        <f>D14+0.1</f>
        <v>13.41175454637056</v>
      </c>
      <c r="E15" s="8">
        <f>MAX(D15+F15,E14+0.1)</f>
        <v>13.91175454637056</v>
      </c>
      <c r="F15" s="7">
        <v>0.5</v>
      </c>
      <c r="G15" s="24" t="s">
        <v>66</v>
      </c>
      <c r="H15" s="25" t="s">
        <v>108</v>
      </c>
      <c r="L15" t="s">
        <v>99</v>
      </c>
    </row>
    <row r="16" spans="2:12" ht="26">
      <c r="B16" s="25" t="s">
        <v>61</v>
      </c>
      <c r="D16" s="8">
        <f>D15+0.1</f>
        <v>13.511754546370559</v>
      </c>
      <c r="E16" s="8">
        <f t="shared" si="1"/>
        <v>14.011754546370559</v>
      </c>
      <c r="F16" s="7">
        <v>0.5</v>
      </c>
      <c r="G16" s="25" t="s">
        <v>70</v>
      </c>
      <c r="H16" s="25" t="s">
        <v>109</v>
      </c>
      <c r="L16" t="s">
        <v>99</v>
      </c>
    </row>
    <row r="17" spans="2:12">
      <c r="B17" s="25" t="s">
        <v>47</v>
      </c>
      <c r="D17" s="8">
        <f>E16</f>
        <v>14.011754546370559</v>
      </c>
      <c r="E17" s="8">
        <f t="shared" si="1"/>
        <v>18.011754546370561</v>
      </c>
      <c r="F17" s="7">
        <v>4</v>
      </c>
      <c r="G17" t="s">
        <v>23</v>
      </c>
      <c r="H17" s="25" t="s">
        <v>34</v>
      </c>
      <c r="L17" t="s">
        <v>96</v>
      </c>
    </row>
    <row r="18" spans="2:12">
      <c r="D18" s="8"/>
      <c r="E18" s="8"/>
      <c r="F18" s="5"/>
    </row>
    <row r="19" spans="2:12" ht="26">
      <c r="B19" s="25" t="s">
        <v>63</v>
      </c>
      <c r="D19" s="8">
        <f>MAX(E8,E13)</f>
        <v>13.31175454637056</v>
      </c>
      <c r="E19" s="8">
        <f t="shared" ref="E19" si="2">D19+F19</f>
        <v>19.311754546370558</v>
      </c>
      <c r="F19" s="1">
        <f>$F$11</f>
        <v>6</v>
      </c>
      <c r="G19" t="s">
        <v>55</v>
      </c>
      <c r="H19" s="25" t="s">
        <v>100</v>
      </c>
      <c r="I19" t="s">
        <v>99</v>
      </c>
    </row>
    <row r="20" spans="2:12">
      <c r="D20" s="8"/>
      <c r="E20" s="8"/>
    </row>
    <row r="21" spans="2:12">
      <c r="B21" s="25" t="s">
        <v>30</v>
      </c>
      <c r="D21" s="8">
        <f>MAX(E19,E14)</f>
        <v>19.311754546370558</v>
      </c>
      <c r="E21" s="8">
        <f t="shared" ref="E21:E75" si="3">D21+F21</f>
        <v>19.41175454637056</v>
      </c>
      <c r="F21" s="7">
        <v>0.1</v>
      </c>
      <c r="G21" t="s">
        <v>89</v>
      </c>
      <c r="J21" t="s">
        <v>99</v>
      </c>
    </row>
    <row r="22" spans="2:12">
      <c r="B22" s="25" t="s">
        <v>32</v>
      </c>
      <c r="D22" s="8">
        <f>E21</f>
        <v>19.41175454637056</v>
      </c>
      <c r="E22" s="8">
        <f t="shared" si="3"/>
        <v>19.91175454637056</v>
      </c>
      <c r="F22" s="1">
        <f>$F$14</f>
        <v>0.5</v>
      </c>
      <c r="G22" t="s">
        <v>12</v>
      </c>
      <c r="K22" t="s">
        <v>99</v>
      </c>
    </row>
    <row r="23" spans="2:12">
      <c r="B23" s="25" t="s">
        <v>31</v>
      </c>
      <c r="D23" s="8">
        <f>D22+0.1</f>
        <v>19.511754546370561</v>
      </c>
      <c r="E23" s="8">
        <f>MAX(D23+F23,E22+0.1)</f>
        <v>20.011754546370561</v>
      </c>
      <c r="F23" s="1">
        <f>$F$15</f>
        <v>0.5</v>
      </c>
      <c r="G23" t="s">
        <v>12</v>
      </c>
      <c r="L23" t="s">
        <v>96</v>
      </c>
    </row>
    <row r="24" spans="2:12">
      <c r="B24" s="25" t="s">
        <v>61</v>
      </c>
      <c r="D24" s="8">
        <f>D23+0.1</f>
        <v>19.611754546370562</v>
      </c>
      <c r="E24" s="8">
        <f t="shared" si="3"/>
        <v>20.111754546370562</v>
      </c>
      <c r="F24" s="1">
        <f>$F$16</f>
        <v>0.5</v>
      </c>
      <c r="G24" t="s">
        <v>12</v>
      </c>
      <c r="L24" t="s">
        <v>99</v>
      </c>
    </row>
    <row r="25" spans="2:12">
      <c r="B25" s="25" t="s">
        <v>85</v>
      </c>
      <c r="C25" s="11">
        <f>C4</f>
        <v>2394</v>
      </c>
      <c r="D25" s="8">
        <f>MAX(E24,E17)</f>
        <v>20.111754546370562</v>
      </c>
      <c r="E25" s="8">
        <f t="shared" si="3"/>
        <v>20.611754546370562</v>
      </c>
      <c r="F25" s="7">
        <v>0.5</v>
      </c>
      <c r="G25" t="s">
        <v>23</v>
      </c>
      <c r="H25" s="25" t="s">
        <v>87</v>
      </c>
      <c r="L25" t="s">
        <v>99</v>
      </c>
    </row>
    <row r="26" spans="2:12">
      <c r="B26" s="25" t="s">
        <v>27</v>
      </c>
      <c r="D26" s="8">
        <f t="shared" ref="D26" si="4">E25</f>
        <v>20.611754546370562</v>
      </c>
      <c r="E26" s="8">
        <f t="shared" si="3"/>
        <v>26.611754546370562</v>
      </c>
      <c r="F26" s="1">
        <f>$F$11</f>
        <v>6</v>
      </c>
      <c r="G26" t="s">
        <v>13</v>
      </c>
      <c r="I26" t="s">
        <v>99</v>
      </c>
      <c r="J26" s="23"/>
    </row>
    <row r="27" spans="2:12">
      <c r="D27" s="8"/>
      <c r="E27" s="8"/>
    </row>
    <row r="28" spans="2:12">
      <c r="B28" s="25" t="s">
        <v>30</v>
      </c>
      <c r="D28" s="8">
        <f>E26</f>
        <v>26.611754546370562</v>
      </c>
      <c r="E28" s="8">
        <f t="shared" si="3"/>
        <v>27.111754546370562</v>
      </c>
      <c r="F28" s="6">
        <f>5*F21</f>
        <v>0.5</v>
      </c>
      <c r="G28" t="s">
        <v>105</v>
      </c>
      <c r="J28" t="s">
        <v>99</v>
      </c>
    </row>
    <row r="29" spans="2:12">
      <c r="B29" s="25" t="s">
        <v>32</v>
      </c>
      <c r="D29" s="8">
        <f>E28</f>
        <v>27.111754546370562</v>
      </c>
      <c r="E29" s="8">
        <f t="shared" si="3"/>
        <v>27.611754546370562</v>
      </c>
      <c r="F29" s="6">
        <f>$F$14</f>
        <v>0.5</v>
      </c>
      <c r="G29" t="s">
        <v>12</v>
      </c>
      <c r="K29" t="s">
        <v>99</v>
      </c>
    </row>
    <row r="30" spans="2:12">
      <c r="B30" s="25" t="s">
        <v>31</v>
      </c>
      <c r="D30" s="8">
        <f>D29+0.1</f>
        <v>27.211754546370564</v>
      </c>
      <c r="E30" s="8">
        <f>MAX(D30+F30,E29+0.1)</f>
        <v>27.711754546370564</v>
      </c>
      <c r="F30" s="1">
        <f>$F$15</f>
        <v>0.5</v>
      </c>
      <c r="G30" t="s">
        <v>12</v>
      </c>
      <c r="L30" t="s">
        <v>96</v>
      </c>
    </row>
    <row r="31" spans="2:12">
      <c r="B31" s="25" t="s">
        <v>61</v>
      </c>
      <c r="D31" s="8">
        <f>D30+0.1</f>
        <v>27.311754546370565</v>
      </c>
      <c r="E31" s="8">
        <f t="shared" si="3"/>
        <v>27.811754546370565</v>
      </c>
      <c r="F31" s="1">
        <f>$F$16</f>
        <v>0.5</v>
      </c>
      <c r="G31" t="s">
        <v>12</v>
      </c>
      <c r="L31" t="s">
        <v>99</v>
      </c>
    </row>
    <row r="32" spans="2:12">
      <c r="B32" s="25" t="s">
        <v>62</v>
      </c>
      <c r="C32" s="11">
        <f>C25</f>
        <v>2394</v>
      </c>
      <c r="D32" s="8">
        <f t="shared" ref="D32:D33" si="5">E31</f>
        <v>27.811754546370565</v>
      </c>
      <c r="E32" s="8">
        <f t="shared" si="3"/>
        <v>28.311754546370565</v>
      </c>
      <c r="F32" s="6">
        <f>$F$25</f>
        <v>0.5</v>
      </c>
      <c r="G32" t="s">
        <v>12</v>
      </c>
      <c r="L32" t="s">
        <v>99</v>
      </c>
    </row>
    <row r="33" spans="2:12">
      <c r="B33" s="25" t="s">
        <v>17</v>
      </c>
      <c r="D33" s="8">
        <f t="shared" si="5"/>
        <v>28.311754546370565</v>
      </c>
      <c r="E33" s="8">
        <f t="shared" si="3"/>
        <v>34.311754546370565</v>
      </c>
      <c r="F33" s="1">
        <f>$F$11</f>
        <v>6</v>
      </c>
      <c r="G33" t="s">
        <v>13</v>
      </c>
      <c r="I33" t="s">
        <v>99</v>
      </c>
      <c r="J33" s="23"/>
    </row>
    <row r="34" spans="2:12">
      <c r="D34" s="8"/>
      <c r="E34" s="8"/>
      <c r="F34" s="6"/>
    </row>
    <row r="35" spans="2:12">
      <c r="B35" s="25" t="s">
        <v>30</v>
      </c>
      <c r="D35" s="8">
        <f>E33</f>
        <v>34.311754546370565</v>
      </c>
      <c r="E35" s="8">
        <f t="shared" si="3"/>
        <v>36.811754546370565</v>
      </c>
      <c r="F35" s="6">
        <f>5*F28</f>
        <v>2.5</v>
      </c>
      <c r="G35" t="s">
        <v>105</v>
      </c>
      <c r="J35" t="s">
        <v>99</v>
      </c>
    </row>
    <row r="36" spans="2:12">
      <c r="B36" s="25" t="s">
        <v>32</v>
      </c>
      <c r="D36" s="8">
        <f>E35</f>
        <v>36.811754546370565</v>
      </c>
      <c r="E36" s="8">
        <f t="shared" si="3"/>
        <v>37.311754546370565</v>
      </c>
      <c r="F36" s="6">
        <f>$F$14</f>
        <v>0.5</v>
      </c>
      <c r="G36" t="s">
        <v>12</v>
      </c>
      <c r="K36" t="s">
        <v>99</v>
      </c>
    </row>
    <row r="37" spans="2:12">
      <c r="B37" s="25" t="s">
        <v>31</v>
      </c>
      <c r="D37" s="8">
        <f>D36+0.1</f>
        <v>36.911754546370567</v>
      </c>
      <c r="E37" s="8">
        <f>MAX(D37+F37,E36+0.1)</f>
        <v>37.411754546370567</v>
      </c>
      <c r="F37" s="1">
        <f>$F$15</f>
        <v>0.5</v>
      </c>
      <c r="G37" t="s">
        <v>12</v>
      </c>
      <c r="L37" t="s">
        <v>96</v>
      </c>
    </row>
    <row r="38" spans="2:12">
      <c r="B38" s="25" t="s">
        <v>61</v>
      </c>
      <c r="D38" s="8">
        <f>D37+0.1</f>
        <v>37.011754546370568</v>
      </c>
      <c r="E38" s="8">
        <f t="shared" si="3"/>
        <v>37.511754546370568</v>
      </c>
      <c r="F38" s="1">
        <f>$F$16</f>
        <v>0.5</v>
      </c>
      <c r="G38" t="s">
        <v>12</v>
      </c>
      <c r="L38" t="s">
        <v>99</v>
      </c>
    </row>
    <row r="39" spans="2:12">
      <c r="B39" s="25" t="s">
        <v>62</v>
      </c>
      <c r="C39" s="11">
        <f>C32</f>
        <v>2394</v>
      </c>
      <c r="D39" s="8">
        <f t="shared" ref="D39:D40" si="6">E38</f>
        <v>37.511754546370568</v>
      </c>
      <c r="E39" s="8">
        <f t="shared" si="3"/>
        <v>38.011754546370568</v>
      </c>
      <c r="F39" s="6">
        <f>$F$25</f>
        <v>0.5</v>
      </c>
      <c r="G39" t="s">
        <v>12</v>
      </c>
      <c r="L39" t="s">
        <v>99</v>
      </c>
    </row>
    <row r="40" spans="2:12">
      <c r="B40" s="25" t="s">
        <v>26</v>
      </c>
      <c r="D40" s="8">
        <f t="shared" si="6"/>
        <v>38.011754546370568</v>
      </c>
      <c r="E40" s="8">
        <f t="shared" si="3"/>
        <v>44.011754546370568</v>
      </c>
      <c r="F40" s="1">
        <f>$F$11</f>
        <v>6</v>
      </c>
      <c r="G40" t="s">
        <v>13</v>
      </c>
      <c r="I40" t="s">
        <v>99</v>
      </c>
      <c r="J40" s="23"/>
    </row>
    <row r="41" spans="2:12">
      <c r="D41" s="8"/>
      <c r="E41" s="8"/>
      <c r="F41" s="6"/>
    </row>
    <row r="42" spans="2:12" ht="26">
      <c r="B42" s="25" t="s">
        <v>30</v>
      </c>
      <c r="D42" s="8">
        <f>E40</f>
        <v>44.011754546370568</v>
      </c>
      <c r="E42" s="8">
        <f t="shared" si="3"/>
        <v>51.011754546370568</v>
      </c>
      <c r="F42" s="7">
        <v>7</v>
      </c>
      <c r="G42" t="s">
        <v>104</v>
      </c>
      <c r="H42" s="25" t="s">
        <v>107</v>
      </c>
      <c r="J42" t="s">
        <v>99</v>
      </c>
    </row>
    <row r="43" spans="2:12">
      <c r="B43" s="25" t="s">
        <v>32</v>
      </c>
      <c r="D43" s="8">
        <f>E42</f>
        <v>51.011754546370568</v>
      </c>
      <c r="E43" s="8">
        <f t="shared" si="3"/>
        <v>51.511754546370568</v>
      </c>
      <c r="F43" s="6">
        <f>$F$14</f>
        <v>0.5</v>
      </c>
      <c r="G43" t="s">
        <v>12</v>
      </c>
      <c r="K43" t="s">
        <v>99</v>
      </c>
    </row>
    <row r="44" spans="2:12">
      <c r="B44" s="25" t="s">
        <v>31</v>
      </c>
      <c r="D44" s="8">
        <f>D43+0.1</f>
        <v>51.11175454637057</v>
      </c>
      <c r="E44" s="8">
        <f>MAX(D44+F44,E43+0.1)</f>
        <v>51.61175454637057</v>
      </c>
      <c r="F44" s="1">
        <f>$F$15</f>
        <v>0.5</v>
      </c>
      <c r="G44" t="s">
        <v>12</v>
      </c>
      <c r="L44" t="s">
        <v>96</v>
      </c>
    </row>
    <row r="45" spans="2:12">
      <c r="B45" s="25" t="s">
        <v>61</v>
      </c>
      <c r="D45" s="8">
        <f>D44+0.1</f>
        <v>51.211754546370571</v>
      </c>
      <c r="E45" s="8">
        <f t="shared" si="3"/>
        <v>51.711754546370571</v>
      </c>
      <c r="F45" s="1">
        <f>$F$16</f>
        <v>0.5</v>
      </c>
      <c r="G45" t="s">
        <v>12</v>
      </c>
      <c r="L45" t="s">
        <v>99</v>
      </c>
    </row>
    <row r="46" spans="2:12">
      <c r="B46" s="25" t="s">
        <v>62</v>
      </c>
      <c r="C46" s="11">
        <f>C39</f>
        <v>2394</v>
      </c>
      <c r="D46" s="8">
        <f t="shared" ref="D46:D47" si="7">E45</f>
        <v>51.711754546370571</v>
      </c>
      <c r="E46" s="8">
        <f t="shared" si="3"/>
        <v>52.211754546370571</v>
      </c>
      <c r="F46" s="6">
        <f>$F$25</f>
        <v>0.5</v>
      </c>
      <c r="G46" t="s">
        <v>12</v>
      </c>
      <c r="L46" t="s">
        <v>99</v>
      </c>
    </row>
    <row r="47" spans="2:12">
      <c r="B47" s="25" t="s">
        <v>25</v>
      </c>
      <c r="D47" s="8">
        <f t="shared" si="7"/>
        <v>52.211754546370571</v>
      </c>
      <c r="E47" s="8">
        <f t="shared" si="3"/>
        <v>58.211754546370571</v>
      </c>
      <c r="F47" s="1">
        <f>$F$11</f>
        <v>6</v>
      </c>
      <c r="G47" t="s">
        <v>13</v>
      </c>
      <c r="I47" t="s">
        <v>99</v>
      </c>
      <c r="J47" s="23"/>
    </row>
    <row r="48" spans="2:12">
      <c r="D48" s="8"/>
      <c r="E48" s="8"/>
      <c r="F48" s="6"/>
    </row>
    <row r="49" spans="2:12">
      <c r="B49" s="25" t="s">
        <v>30</v>
      </c>
      <c r="D49" s="8">
        <f>E47</f>
        <v>58.211754546370571</v>
      </c>
      <c r="E49" s="8">
        <f t="shared" si="3"/>
        <v>65.211754546370571</v>
      </c>
      <c r="F49" s="6">
        <f>$F$42</f>
        <v>7</v>
      </c>
      <c r="G49" t="s">
        <v>106</v>
      </c>
      <c r="J49" t="s">
        <v>99</v>
      </c>
    </row>
    <row r="50" spans="2:12">
      <c r="B50" s="25" t="s">
        <v>32</v>
      </c>
      <c r="D50" s="8">
        <f>E49</f>
        <v>65.211754546370571</v>
      </c>
      <c r="E50" s="8">
        <f t="shared" si="3"/>
        <v>65.711754546370571</v>
      </c>
      <c r="F50" s="6">
        <f>$F$14</f>
        <v>0.5</v>
      </c>
      <c r="G50" t="s">
        <v>12</v>
      </c>
      <c r="K50" t="s">
        <v>99</v>
      </c>
    </row>
    <row r="51" spans="2:12">
      <c r="B51" s="25" t="s">
        <v>31</v>
      </c>
      <c r="D51" s="8">
        <f>D50+0.1</f>
        <v>65.311754546370565</v>
      </c>
      <c r="E51" s="8">
        <f>MAX(D51+F51,E50+0.1)</f>
        <v>65.811754546370565</v>
      </c>
      <c r="F51" s="1">
        <f>$F$15</f>
        <v>0.5</v>
      </c>
      <c r="G51" t="s">
        <v>12</v>
      </c>
      <c r="L51" t="s">
        <v>96</v>
      </c>
    </row>
    <row r="52" spans="2:12">
      <c r="B52" s="25" t="s">
        <v>61</v>
      </c>
      <c r="D52" s="8">
        <f>D51+0.1</f>
        <v>65.41175454637056</v>
      </c>
      <c r="E52" s="8">
        <f t="shared" si="3"/>
        <v>65.91175454637056</v>
      </c>
      <c r="F52" s="1">
        <f>$F$16</f>
        <v>0.5</v>
      </c>
      <c r="G52" t="s">
        <v>12</v>
      </c>
      <c r="L52" t="s">
        <v>99</v>
      </c>
    </row>
    <row r="53" spans="2:12">
      <c r="B53" s="25" t="s">
        <v>62</v>
      </c>
      <c r="C53" s="11">
        <f>ROUND(0.1*C46,0)</f>
        <v>239</v>
      </c>
      <c r="D53" s="8">
        <f t="shared" ref="D53:D54" si="8">E52</f>
        <v>65.91175454637056</v>
      </c>
      <c r="E53" s="8">
        <f t="shared" si="3"/>
        <v>66.41175454637056</v>
      </c>
      <c r="F53" s="6">
        <f>$F$25</f>
        <v>0.5</v>
      </c>
      <c r="G53" t="s">
        <v>12</v>
      </c>
      <c r="L53" t="s">
        <v>99</v>
      </c>
    </row>
    <row r="54" spans="2:12">
      <c r="B54" s="25" t="s">
        <v>28</v>
      </c>
      <c r="D54" s="8">
        <f t="shared" si="8"/>
        <v>66.41175454637056</v>
      </c>
      <c r="E54" s="8">
        <f t="shared" si="3"/>
        <v>72.41175454637056</v>
      </c>
      <c r="F54" s="1">
        <f>$F$11</f>
        <v>6</v>
      </c>
      <c r="G54" t="s">
        <v>13</v>
      </c>
      <c r="I54" t="s">
        <v>99</v>
      </c>
      <c r="J54" s="23"/>
    </row>
    <row r="55" spans="2:12">
      <c r="D55" s="8"/>
      <c r="E55" s="8"/>
      <c r="F55" s="6"/>
    </row>
    <row r="56" spans="2:12">
      <c r="B56" s="25" t="s">
        <v>30</v>
      </c>
      <c r="D56" s="8">
        <f>E54</f>
        <v>72.41175454637056</v>
      </c>
      <c r="E56" s="8">
        <f t="shared" si="3"/>
        <v>79.41175454637056</v>
      </c>
      <c r="F56" s="6">
        <f>$F$49</f>
        <v>7</v>
      </c>
      <c r="G56" t="s">
        <v>12</v>
      </c>
      <c r="J56" t="s">
        <v>99</v>
      </c>
    </row>
    <row r="57" spans="2:12">
      <c r="B57" s="25" t="s">
        <v>32</v>
      </c>
      <c r="D57" s="8">
        <f>E56</f>
        <v>79.41175454637056</v>
      </c>
      <c r="E57" s="8">
        <f t="shared" si="3"/>
        <v>79.91175454637056</v>
      </c>
      <c r="F57" s="6">
        <f>$F$14</f>
        <v>0.5</v>
      </c>
      <c r="G57" t="s">
        <v>12</v>
      </c>
      <c r="K57" t="s">
        <v>99</v>
      </c>
    </row>
    <row r="58" spans="2:12">
      <c r="B58" s="25" t="s">
        <v>31</v>
      </c>
      <c r="D58" s="8">
        <f>D57+0.1</f>
        <v>79.511754546370554</v>
      </c>
      <c r="E58" s="8">
        <f>MAX(D58+F58,E57+0.1)</f>
        <v>80.011754546370554</v>
      </c>
      <c r="F58" s="1">
        <f>$F$15</f>
        <v>0.5</v>
      </c>
      <c r="G58" t="s">
        <v>12</v>
      </c>
      <c r="L58" t="s">
        <v>96</v>
      </c>
    </row>
    <row r="59" spans="2:12">
      <c r="B59" s="25" t="s">
        <v>61</v>
      </c>
      <c r="D59" s="8">
        <f>D58+0.1</f>
        <v>79.611754546370548</v>
      </c>
      <c r="E59" s="8">
        <f t="shared" si="3"/>
        <v>80.111754546370548</v>
      </c>
      <c r="F59" s="1">
        <f>$F$16</f>
        <v>0.5</v>
      </c>
      <c r="G59" t="s">
        <v>12</v>
      </c>
      <c r="L59" t="s">
        <v>99</v>
      </c>
    </row>
    <row r="60" spans="2:12">
      <c r="B60" s="25" t="s">
        <v>62</v>
      </c>
      <c r="C60" s="11">
        <f>ROUND(0.1*C53,0)</f>
        <v>24</v>
      </c>
      <c r="D60" s="8">
        <f t="shared" ref="D60:D61" si="9">E59</f>
        <v>80.111754546370548</v>
      </c>
      <c r="E60" s="8">
        <f t="shared" si="3"/>
        <v>80.611754546370548</v>
      </c>
      <c r="F60" s="6">
        <f>$F$25</f>
        <v>0.5</v>
      </c>
      <c r="G60" t="s">
        <v>12</v>
      </c>
      <c r="L60" t="s">
        <v>99</v>
      </c>
    </row>
    <row r="61" spans="2:12">
      <c r="B61" s="25" t="s">
        <v>29</v>
      </c>
      <c r="D61" s="8">
        <f t="shared" si="9"/>
        <v>80.611754546370548</v>
      </c>
      <c r="E61" s="8">
        <f t="shared" si="3"/>
        <v>86.611754546370548</v>
      </c>
      <c r="F61" s="1">
        <f>$F$11</f>
        <v>6</v>
      </c>
      <c r="G61" t="s">
        <v>13</v>
      </c>
      <c r="I61" t="s">
        <v>99</v>
      </c>
      <c r="J61" s="23"/>
    </row>
    <row r="62" spans="2:12">
      <c r="D62" s="8"/>
      <c r="E62" s="8"/>
      <c r="F62" s="6"/>
    </row>
    <row r="63" spans="2:12">
      <c r="B63" s="25" t="s">
        <v>30</v>
      </c>
      <c r="D63" s="8">
        <f>E61</f>
        <v>86.611754546370548</v>
      </c>
      <c r="E63" s="8">
        <f t="shared" ref="E63:E64" si="10">D63+F63</f>
        <v>93.611754546370548</v>
      </c>
      <c r="F63" s="6">
        <f>$F$49</f>
        <v>7</v>
      </c>
      <c r="G63" t="s">
        <v>12</v>
      </c>
      <c r="J63" t="s">
        <v>99</v>
      </c>
    </row>
    <row r="64" spans="2:12">
      <c r="B64" s="25" t="s">
        <v>32</v>
      </c>
      <c r="D64" s="8">
        <f>E63</f>
        <v>93.611754546370548</v>
      </c>
      <c r="E64" s="8">
        <f t="shared" si="10"/>
        <v>94.111754546370548</v>
      </c>
      <c r="F64" s="6">
        <f>$F$14</f>
        <v>0.5</v>
      </c>
      <c r="G64" t="s">
        <v>12</v>
      </c>
      <c r="K64" t="s">
        <v>99</v>
      </c>
    </row>
    <row r="65" spans="2:12">
      <c r="B65" s="25" t="s">
        <v>31</v>
      </c>
      <c r="D65" s="8">
        <f>D64+0.1</f>
        <v>93.711754546370543</v>
      </c>
      <c r="E65" s="8">
        <f>MAX(D65+F65,E64+0.1)</f>
        <v>94.211754546370543</v>
      </c>
      <c r="F65" s="1">
        <f>$F$15</f>
        <v>0.5</v>
      </c>
      <c r="G65" t="s">
        <v>12</v>
      </c>
      <c r="L65" t="s">
        <v>96</v>
      </c>
    </row>
    <row r="66" spans="2:12">
      <c r="B66" s="25" t="s">
        <v>61</v>
      </c>
      <c r="D66" s="8">
        <f>D65+0.1</f>
        <v>93.811754546370537</v>
      </c>
      <c r="E66" s="8">
        <f t="shared" ref="E66:E68" si="11">D66+F66</f>
        <v>94.311754546370537</v>
      </c>
      <c r="F66" s="1">
        <f>$F$16</f>
        <v>0.5</v>
      </c>
      <c r="G66" t="s">
        <v>12</v>
      </c>
      <c r="L66" t="s">
        <v>99</v>
      </c>
    </row>
    <row r="67" spans="2:12">
      <c r="B67" s="25" t="s">
        <v>62</v>
      </c>
      <c r="C67" s="11">
        <f>ROUND(0.1*C60,0)</f>
        <v>2</v>
      </c>
      <c r="D67" s="8">
        <f t="shared" ref="D67:D68" si="12">E66</f>
        <v>94.311754546370537</v>
      </c>
      <c r="E67" s="8">
        <f t="shared" si="11"/>
        <v>94.811754546370537</v>
      </c>
      <c r="F67" s="6">
        <f>$F$25</f>
        <v>0.5</v>
      </c>
      <c r="G67" t="s">
        <v>12</v>
      </c>
      <c r="L67" t="s">
        <v>99</v>
      </c>
    </row>
    <row r="68" spans="2:12">
      <c r="B68" s="25" t="s">
        <v>53</v>
      </c>
      <c r="D68" s="8">
        <f t="shared" si="12"/>
        <v>94.811754546370537</v>
      </c>
      <c r="E68" s="8">
        <f t="shared" si="11"/>
        <v>100.81175454637054</v>
      </c>
      <c r="F68" s="1">
        <f>$F$11</f>
        <v>6</v>
      </c>
      <c r="G68" t="s">
        <v>13</v>
      </c>
      <c r="I68" t="s">
        <v>99</v>
      </c>
      <c r="J68" s="23"/>
    </row>
    <row r="69" spans="2:12">
      <c r="D69" s="8"/>
      <c r="E69" s="8"/>
      <c r="F69" s="6"/>
    </row>
    <row r="70" spans="2:12">
      <c r="B70" s="25" t="s">
        <v>30</v>
      </c>
      <c r="D70" s="8">
        <f>E68</f>
        <v>100.81175454637054</v>
      </c>
      <c r="E70" s="8">
        <f t="shared" ref="E70:E71" si="13">D70+F70</f>
        <v>107.81175454637054</v>
      </c>
      <c r="F70" s="6">
        <f>$F$49</f>
        <v>7</v>
      </c>
      <c r="G70" t="s">
        <v>12</v>
      </c>
      <c r="J70" t="s">
        <v>99</v>
      </c>
    </row>
    <row r="71" spans="2:12">
      <c r="B71" s="25" t="s">
        <v>32</v>
      </c>
      <c r="D71" s="8">
        <f>E70</f>
        <v>107.81175454637054</v>
      </c>
      <c r="E71" s="8">
        <f t="shared" si="13"/>
        <v>108.31175454637054</v>
      </c>
      <c r="F71" s="6">
        <f>$F$14</f>
        <v>0.5</v>
      </c>
      <c r="G71" t="s">
        <v>12</v>
      </c>
      <c r="K71" t="s">
        <v>99</v>
      </c>
    </row>
    <row r="72" spans="2:12">
      <c r="B72" s="25" t="s">
        <v>31</v>
      </c>
      <c r="D72" s="8">
        <f>D71+0.1</f>
        <v>107.91175454637053</v>
      </c>
      <c r="E72" s="8">
        <f>MAX(D72+F72,E71+0.1)</f>
        <v>108.41175454637053</v>
      </c>
      <c r="F72" s="1">
        <f>$F$15</f>
        <v>0.5</v>
      </c>
      <c r="G72" t="s">
        <v>12</v>
      </c>
      <c r="L72" t="s">
        <v>96</v>
      </c>
    </row>
    <row r="73" spans="2:12">
      <c r="B73" s="25" t="s">
        <v>61</v>
      </c>
      <c r="D73" s="8">
        <f>D72+0.1</f>
        <v>108.01175454637053</v>
      </c>
      <c r="E73" s="8">
        <f t="shared" ref="E73:E74" si="14">D73+F73</f>
        <v>108.51175454637053</v>
      </c>
      <c r="F73" s="1">
        <f>$F$16</f>
        <v>0.5</v>
      </c>
      <c r="G73" t="s">
        <v>12</v>
      </c>
      <c r="L73" t="s">
        <v>99</v>
      </c>
    </row>
    <row r="74" spans="2:12">
      <c r="B74" s="25" t="s">
        <v>62</v>
      </c>
      <c r="C74" s="11">
        <f>ROUND(0.1*C67,0)</f>
        <v>0</v>
      </c>
      <c r="D74" s="8">
        <f t="shared" ref="D74" si="15">E73</f>
        <v>108.51175454637053</v>
      </c>
      <c r="E74" s="8">
        <f t="shared" si="14"/>
        <v>109.01175454637053</v>
      </c>
      <c r="F74" s="6">
        <f>$F$25</f>
        <v>0.5</v>
      </c>
      <c r="G74" t="s">
        <v>12</v>
      </c>
      <c r="L74" t="s">
        <v>99</v>
      </c>
    </row>
    <row r="75" spans="2:12">
      <c r="B75" s="25" t="s">
        <v>33</v>
      </c>
      <c r="D75" s="8">
        <f>E74</f>
        <v>109.01175454637053</v>
      </c>
      <c r="E75" s="8">
        <f t="shared" si="3"/>
        <v>109.51175454637053</v>
      </c>
      <c r="F75" s="7">
        <v>0.5</v>
      </c>
      <c r="J75" s="23"/>
      <c r="L75" t="s">
        <v>99</v>
      </c>
    </row>
    <row r="76" spans="2:12" ht="27">
      <c r="B76" s="32" t="s">
        <v>65</v>
      </c>
      <c r="C76" s="11">
        <f>C74</f>
        <v>0</v>
      </c>
      <c r="D76" s="8"/>
      <c r="E76" s="10">
        <f>E75</f>
        <v>109.51175454637053</v>
      </c>
      <c r="F76" s="6"/>
      <c r="H76" s="26" t="s">
        <v>51</v>
      </c>
    </row>
    <row r="77" spans="2:12" ht="18">
      <c r="B77" s="30" t="s">
        <v>14</v>
      </c>
      <c r="D77" s="15">
        <f>MAX(E76,E7,E5)</f>
        <v>109.51175454637053</v>
      </c>
      <c r="E77" s="8"/>
      <c r="F77" s="6"/>
    </row>
    <row r="78" spans="2:12">
      <c r="E78" s="8"/>
    </row>
    <row r="79" spans="2:12" ht="18">
      <c r="B79" s="33" t="s">
        <v>69</v>
      </c>
      <c r="D79" s="19"/>
      <c r="E79" s="19"/>
      <c r="F79" s="17"/>
      <c r="G79" s="18"/>
      <c r="H79" s="27"/>
    </row>
    <row r="80" spans="2:12" ht="18">
      <c r="B80" s="34" t="s">
        <v>35</v>
      </c>
      <c r="D80" s="19"/>
      <c r="E80" s="19"/>
      <c r="F80" s="19">
        <f>F4</f>
        <v>1.5</v>
      </c>
      <c r="G80" s="22" t="s">
        <v>43</v>
      </c>
      <c r="H80" s="27"/>
    </row>
    <row r="81" spans="2:8" ht="18">
      <c r="B81" s="34" t="s">
        <v>36</v>
      </c>
      <c r="D81" s="19"/>
      <c r="E81" s="19"/>
      <c r="F81" s="19">
        <f>F19+F26+F33+F40+F47+F54+F61+F68</f>
        <v>48</v>
      </c>
      <c r="G81" s="18"/>
      <c r="H81" s="27"/>
    </row>
    <row r="82" spans="2:8" ht="18">
      <c r="B82" s="34" t="s">
        <v>37</v>
      </c>
      <c r="D82" s="19"/>
      <c r="E82" s="19"/>
      <c r="F82" s="19">
        <f>F70+F63+F56+F49+F42+F35+F28+F21</f>
        <v>38.1</v>
      </c>
      <c r="G82" s="18"/>
      <c r="H82" s="27"/>
    </row>
    <row r="83" spans="2:8" ht="18">
      <c r="B83" s="34" t="s">
        <v>38</v>
      </c>
      <c r="D83" s="19"/>
      <c r="E83" s="19"/>
      <c r="F83" s="19">
        <f>F14*10</f>
        <v>5</v>
      </c>
      <c r="G83" s="18"/>
      <c r="H83" s="27"/>
    </row>
    <row r="84" spans="2:8" ht="18">
      <c r="B84" s="34" t="s">
        <v>39</v>
      </c>
      <c r="D84" s="19"/>
      <c r="E84" s="19"/>
      <c r="F84" s="19">
        <f>(D16-D14)*10</f>
        <v>1.9999999999999929</v>
      </c>
      <c r="G84" s="22" t="s">
        <v>42</v>
      </c>
      <c r="H84" s="27"/>
    </row>
    <row r="85" spans="2:8" ht="36">
      <c r="B85" s="34" t="s">
        <v>40</v>
      </c>
      <c r="D85" s="20"/>
      <c r="E85" s="19"/>
      <c r="F85" s="19">
        <f>E76-F81-F82-F83-F84-F80</f>
        <v>14.911754546370531</v>
      </c>
      <c r="G85" s="18"/>
      <c r="H85" s="27"/>
    </row>
    <row r="86" spans="2:8" ht="19" thickBot="1">
      <c r="B86" s="35"/>
      <c r="D86" s="19"/>
      <c r="E86" s="19"/>
      <c r="F86" s="21">
        <f>SUM(F80:F85)</f>
        <v>109.51175454637053</v>
      </c>
      <c r="G86" s="18" t="s">
        <v>41</v>
      </c>
      <c r="H86" s="27"/>
    </row>
    <row r="87" spans="2:8" ht="14" thickTop="1">
      <c r="D87" s="8"/>
      <c r="E87" s="8"/>
    </row>
    <row r="88" spans="2:8">
      <c r="D88" s="8"/>
      <c r="E88" s="8"/>
    </row>
    <row r="89" spans="2:8">
      <c r="D89" s="8"/>
      <c r="E89" s="8"/>
    </row>
  </sheetData>
  <sheetCalcPr fullCalcOnLoad="1"/>
  <phoneticPr fontId="8" type="noConversion"/>
  <pageMargins left="0.75" right="0.75" top="1" bottom="1" header="0.5" footer="0.5"/>
  <pageSetup paperSize="0" orientation="portrait" horizontalDpi="4294967292" verticalDpi="4294967292"/>
  <extLst>
    <ext xmlns:mx="http://schemas.microsoft.com/office/mac/excel/2008/main" uri="http://schemas.microsoft.com/office/mac/excel/2008/main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/>
  <dimension ref="B1:L89"/>
  <sheetViews>
    <sheetView topLeftCell="B1" workbookViewId="0">
      <selection activeCell="F7" sqref="F7"/>
    </sheetView>
  </sheetViews>
  <sheetFormatPr baseColWidth="10" defaultRowHeight="13"/>
  <cols>
    <col min="2" max="2" width="33" style="25" customWidth="1"/>
    <col min="3" max="3" width="10.7109375" style="11"/>
    <col min="4" max="6" width="10.7109375" style="1"/>
    <col min="7" max="7" width="36.42578125" customWidth="1"/>
    <col min="8" max="8" width="47.5703125" style="25" customWidth="1"/>
  </cols>
  <sheetData>
    <row r="1" spans="2:12">
      <c r="B1" s="28" t="s">
        <v>10</v>
      </c>
    </row>
    <row r="2" spans="2:12" s="2" customFormat="1">
      <c r="B2" s="29">
        <v>39690</v>
      </c>
      <c r="C2" s="3" t="s">
        <v>71</v>
      </c>
      <c r="D2" s="3" t="s">
        <v>20</v>
      </c>
      <c r="E2" s="3" t="s">
        <v>21</v>
      </c>
      <c r="F2" s="3" t="s">
        <v>49</v>
      </c>
      <c r="G2" s="2" t="s">
        <v>22</v>
      </c>
      <c r="H2" s="26" t="s">
        <v>86</v>
      </c>
      <c r="I2" s="2" t="s">
        <v>91</v>
      </c>
      <c r="J2" s="2" t="s">
        <v>92</v>
      </c>
      <c r="K2" s="2" t="s">
        <v>93</v>
      </c>
      <c r="L2" s="2" t="s">
        <v>94</v>
      </c>
    </row>
    <row r="3" spans="2:12">
      <c r="C3" s="3" t="s">
        <v>72</v>
      </c>
      <c r="D3" s="1" t="s">
        <v>50</v>
      </c>
      <c r="E3" s="1" t="s">
        <v>50</v>
      </c>
      <c r="F3" s="1" t="s">
        <v>50</v>
      </c>
    </row>
    <row r="4" spans="2:12" ht="18">
      <c r="B4" s="30" t="s">
        <v>15</v>
      </c>
      <c r="C4" s="11">
        <f>3*14*57</f>
        <v>2394</v>
      </c>
      <c r="D4" s="15">
        <v>0</v>
      </c>
      <c r="E4" s="8">
        <f t="shared" ref="E4:E8" si="0">D4+F4</f>
        <v>1.5</v>
      </c>
      <c r="F4" s="7">
        <v>1.5</v>
      </c>
      <c r="G4" t="s">
        <v>19</v>
      </c>
    </row>
    <row r="5" spans="2:12" ht="18">
      <c r="B5" s="31" t="s">
        <v>67</v>
      </c>
      <c r="D5" s="8">
        <f>E4</f>
        <v>1.5</v>
      </c>
      <c r="E5" s="10">
        <f t="shared" si="0"/>
        <v>34.860128000000003</v>
      </c>
      <c r="F5" s="9">
        <f>512*1.05*4096/75000+4</f>
        <v>33.360128000000003</v>
      </c>
      <c r="G5" t="s">
        <v>64</v>
      </c>
      <c r="H5" s="25" t="s">
        <v>52</v>
      </c>
      <c r="K5" t="s">
        <v>95</v>
      </c>
    </row>
    <row r="6" spans="2:12" ht="26">
      <c r="B6" s="25" t="s">
        <v>58</v>
      </c>
      <c r="D6" s="8">
        <f>E4</f>
        <v>1.5</v>
      </c>
      <c r="E6" s="8">
        <f t="shared" si="0"/>
        <v>8.31175454637056</v>
      </c>
      <c r="F6" s="12">
        <f>2*SQRT(1.16/0.1)</f>
        <v>6.81175454637056</v>
      </c>
      <c r="G6" t="s">
        <v>56</v>
      </c>
      <c r="H6" s="25" t="s">
        <v>57</v>
      </c>
    </row>
    <row r="7" spans="2:12" ht="18">
      <c r="B7" s="31" t="s">
        <v>68</v>
      </c>
      <c r="D7" s="8">
        <f>E6</f>
        <v>8.31175454637056</v>
      </c>
      <c r="E7" s="10">
        <f t="shared" si="0"/>
        <v>28.311754546370558</v>
      </c>
      <c r="F7" s="12">
        <v>20</v>
      </c>
      <c r="G7" s="13" t="s">
        <v>16</v>
      </c>
      <c r="H7" s="25" t="s">
        <v>54</v>
      </c>
    </row>
    <row r="8" spans="2:12" ht="26">
      <c r="B8" s="25" t="s">
        <v>24</v>
      </c>
      <c r="D8" s="8">
        <f>D4</f>
        <v>0</v>
      </c>
      <c r="E8" s="8">
        <f t="shared" si="0"/>
        <v>1</v>
      </c>
      <c r="F8" s="12">
        <v>1</v>
      </c>
      <c r="G8" s="13" t="s">
        <v>11</v>
      </c>
      <c r="H8" s="25" t="s">
        <v>45</v>
      </c>
    </row>
    <row r="9" spans="2:12">
      <c r="D9" s="8"/>
      <c r="E9" s="8"/>
      <c r="F9" s="5"/>
    </row>
    <row r="10" spans="2:12">
      <c r="D10" s="8"/>
      <c r="E10" s="8"/>
    </row>
    <row r="11" spans="2:12" ht="26">
      <c r="B11" s="25" t="s">
        <v>90</v>
      </c>
      <c r="D11" s="8">
        <f>E4</f>
        <v>1.5</v>
      </c>
      <c r="E11" s="8">
        <f>D11+F11</f>
        <v>3.5</v>
      </c>
      <c r="F11" s="7">
        <v>2</v>
      </c>
      <c r="G11" t="s">
        <v>48</v>
      </c>
      <c r="H11" s="25" t="s">
        <v>46</v>
      </c>
      <c r="I11" t="s">
        <v>96</v>
      </c>
    </row>
    <row r="12" spans="2:12">
      <c r="B12" s="25" t="s">
        <v>97</v>
      </c>
      <c r="D12" s="8">
        <f>E6</f>
        <v>8.31175454637056</v>
      </c>
      <c r="E12" s="8">
        <f>D12+F12</f>
        <v>13.31175454637056</v>
      </c>
      <c r="F12" s="7">
        <v>5</v>
      </c>
      <c r="I12" t="s">
        <v>99</v>
      </c>
    </row>
    <row r="13" spans="2:12">
      <c r="B13" s="25" t="s">
        <v>30</v>
      </c>
      <c r="D13" s="8">
        <f>E6</f>
        <v>8.31175454637056</v>
      </c>
      <c r="E13" s="8">
        <f>D13+F13</f>
        <v>13.31175454637056</v>
      </c>
      <c r="F13" s="14">
        <f>F12</f>
        <v>5</v>
      </c>
      <c r="H13" s="25" t="s">
        <v>98</v>
      </c>
      <c r="J13" t="s">
        <v>96</v>
      </c>
    </row>
    <row r="14" spans="2:12" ht="26">
      <c r="B14" s="25" t="s">
        <v>32</v>
      </c>
      <c r="D14" s="8">
        <f>E13</f>
        <v>13.31175454637056</v>
      </c>
      <c r="E14" s="8">
        <f t="shared" ref="E14:E17" si="1">D14+F14</f>
        <v>13.81175454637056</v>
      </c>
      <c r="F14" s="7">
        <v>0.5</v>
      </c>
      <c r="G14" t="s">
        <v>44</v>
      </c>
      <c r="H14" s="25" t="s">
        <v>88</v>
      </c>
      <c r="K14" t="s">
        <v>96</v>
      </c>
    </row>
    <row r="15" spans="2:12">
      <c r="B15" s="25" t="s">
        <v>18</v>
      </c>
      <c r="D15" s="8">
        <f>D14+0.1</f>
        <v>13.41175454637056</v>
      </c>
      <c r="E15" s="8">
        <f>MAX(D15+F15,E14+0.1)</f>
        <v>13.91175454637056</v>
      </c>
      <c r="F15" s="7">
        <v>0.5</v>
      </c>
      <c r="G15" s="24" t="s">
        <v>66</v>
      </c>
      <c r="H15" s="25" t="s">
        <v>108</v>
      </c>
      <c r="L15" t="s">
        <v>99</v>
      </c>
    </row>
    <row r="16" spans="2:12" ht="26">
      <c r="B16" s="25" t="s">
        <v>61</v>
      </c>
      <c r="D16" s="8">
        <f>D15+0.1</f>
        <v>13.511754546370559</v>
      </c>
      <c r="E16" s="8">
        <f t="shared" si="1"/>
        <v>14.011754546370559</v>
      </c>
      <c r="F16" s="7">
        <v>0.5</v>
      </c>
      <c r="G16" s="25" t="s">
        <v>70</v>
      </c>
      <c r="H16" s="25" t="s">
        <v>109</v>
      </c>
      <c r="L16" t="s">
        <v>99</v>
      </c>
    </row>
    <row r="17" spans="2:12">
      <c r="B17" s="25" t="s">
        <v>47</v>
      </c>
      <c r="D17" s="8">
        <f>E16</f>
        <v>14.011754546370559</v>
      </c>
      <c r="E17" s="8">
        <f t="shared" si="1"/>
        <v>18.011754546370561</v>
      </c>
      <c r="F17" s="7">
        <v>4</v>
      </c>
      <c r="G17" t="s">
        <v>23</v>
      </c>
      <c r="H17" s="25" t="s">
        <v>34</v>
      </c>
      <c r="L17" t="s">
        <v>96</v>
      </c>
    </row>
    <row r="18" spans="2:12">
      <c r="D18" s="8"/>
      <c r="E18" s="8"/>
      <c r="F18" s="5"/>
    </row>
    <row r="19" spans="2:12" ht="26">
      <c r="B19" s="25" t="s">
        <v>63</v>
      </c>
      <c r="D19" s="8">
        <f>MAX(E8,E13)</f>
        <v>13.31175454637056</v>
      </c>
      <c r="E19" s="8">
        <f t="shared" ref="E19" si="2">D19+F19</f>
        <v>15.31175454637056</v>
      </c>
      <c r="F19" s="1">
        <f>$F$11</f>
        <v>2</v>
      </c>
      <c r="G19" t="s">
        <v>55</v>
      </c>
      <c r="H19" s="25" t="s">
        <v>100</v>
      </c>
      <c r="I19" t="s">
        <v>99</v>
      </c>
    </row>
    <row r="20" spans="2:12">
      <c r="D20" s="8"/>
      <c r="E20" s="8"/>
    </row>
    <row r="21" spans="2:12">
      <c r="B21" s="25" t="s">
        <v>30</v>
      </c>
      <c r="D21" s="8">
        <f>MAX(E19,E14)</f>
        <v>15.31175454637056</v>
      </c>
      <c r="E21" s="8">
        <f t="shared" ref="E21:E75" si="3">D21+F21</f>
        <v>22.311754546370558</v>
      </c>
      <c r="F21" s="7">
        <v>7</v>
      </c>
      <c r="G21" t="s">
        <v>89</v>
      </c>
      <c r="J21" t="s">
        <v>99</v>
      </c>
    </row>
    <row r="22" spans="2:12">
      <c r="B22" s="25" t="s">
        <v>32</v>
      </c>
      <c r="D22" s="8">
        <f>E21</f>
        <v>22.311754546370558</v>
      </c>
      <c r="E22" s="8">
        <f t="shared" si="3"/>
        <v>22.811754546370558</v>
      </c>
      <c r="F22" s="1">
        <f>$F$14</f>
        <v>0.5</v>
      </c>
      <c r="G22" t="s">
        <v>12</v>
      </c>
      <c r="K22" t="s">
        <v>99</v>
      </c>
    </row>
    <row r="23" spans="2:12">
      <c r="B23" s="25" t="s">
        <v>31</v>
      </c>
      <c r="D23" s="8">
        <f>D22+0.1</f>
        <v>22.41175454637056</v>
      </c>
      <c r="E23" s="8">
        <f>MAX(D23+F23,E22+0.1)</f>
        <v>22.91175454637056</v>
      </c>
      <c r="F23" s="1">
        <f>$F$15</f>
        <v>0.5</v>
      </c>
      <c r="G23" t="s">
        <v>12</v>
      </c>
      <c r="L23" t="s">
        <v>96</v>
      </c>
    </row>
    <row r="24" spans="2:12">
      <c r="B24" s="25" t="s">
        <v>61</v>
      </c>
      <c r="D24" s="8">
        <f>D23+0.1</f>
        <v>22.511754546370561</v>
      </c>
      <c r="E24" s="8">
        <f t="shared" si="3"/>
        <v>23.011754546370561</v>
      </c>
      <c r="F24" s="1">
        <f>$F$16</f>
        <v>0.5</v>
      </c>
      <c r="G24" t="s">
        <v>12</v>
      </c>
      <c r="L24" t="s">
        <v>99</v>
      </c>
    </row>
    <row r="25" spans="2:12">
      <c r="B25" s="25" t="s">
        <v>85</v>
      </c>
      <c r="C25" s="11">
        <f>C4</f>
        <v>2394</v>
      </c>
      <c r="D25" s="8">
        <f>MAX(E24,E17)</f>
        <v>23.011754546370561</v>
      </c>
      <c r="E25" s="8">
        <f t="shared" si="3"/>
        <v>23.511754546370561</v>
      </c>
      <c r="F25" s="7">
        <v>0.5</v>
      </c>
      <c r="G25" t="s">
        <v>23</v>
      </c>
      <c r="H25" s="25" t="s">
        <v>87</v>
      </c>
      <c r="L25" t="s">
        <v>99</v>
      </c>
    </row>
    <row r="26" spans="2:12">
      <c r="B26" s="25" t="s">
        <v>27</v>
      </c>
      <c r="D26" s="8">
        <f t="shared" ref="D26" si="4">E25</f>
        <v>23.511754546370561</v>
      </c>
      <c r="E26" s="8">
        <f t="shared" si="3"/>
        <v>25.511754546370561</v>
      </c>
      <c r="F26" s="1">
        <f>$F$11</f>
        <v>2</v>
      </c>
      <c r="G26" t="s">
        <v>13</v>
      </c>
      <c r="I26" t="s">
        <v>99</v>
      </c>
      <c r="J26" s="23"/>
    </row>
    <row r="27" spans="2:12">
      <c r="D27" s="8"/>
      <c r="E27" s="8"/>
    </row>
    <row r="28" spans="2:12">
      <c r="B28" s="25" t="s">
        <v>30</v>
      </c>
      <c r="D28" s="8">
        <f>E26</f>
        <v>25.511754546370561</v>
      </c>
      <c r="E28" s="8">
        <f t="shared" si="3"/>
        <v>32.511754546370561</v>
      </c>
      <c r="F28" s="6">
        <f>F21</f>
        <v>7</v>
      </c>
      <c r="G28" t="s">
        <v>105</v>
      </c>
      <c r="J28" t="s">
        <v>99</v>
      </c>
    </row>
    <row r="29" spans="2:12">
      <c r="B29" s="25" t="s">
        <v>32</v>
      </c>
      <c r="D29" s="8">
        <f>E28</f>
        <v>32.511754546370561</v>
      </c>
      <c r="E29" s="8">
        <f t="shared" si="3"/>
        <v>33.011754546370561</v>
      </c>
      <c r="F29" s="6">
        <f>$F$14</f>
        <v>0.5</v>
      </c>
      <c r="G29" t="s">
        <v>12</v>
      </c>
      <c r="K29" t="s">
        <v>99</v>
      </c>
    </row>
    <row r="30" spans="2:12">
      <c r="B30" s="25" t="s">
        <v>31</v>
      </c>
      <c r="D30" s="8">
        <f>D29+0.1</f>
        <v>32.611754546370562</v>
      </c>
      <c r="E30" s="8">
        <f>MAX(D30+F30,E29+0.1)</f>
        <v>33.111754546370562</v>
      </c>
      <c r="F30" s="1">
        <f>$F$15</f>
        <v>0.5</v>
      </c>
      <c r="G30" t="s">
        <v>12</v>
      </c>
      <c r="L30" t="s">
        <v>96</v>
      </c>
    </row>
    <row r="31" spans="2:12">
      <c r="B31" s="25" t="s">
        <v>61</v>
      </c>
      <c r="D31" s="8">
        <f>D30+0.1</f>
        <v>32.711754546370564</v>
      </c>
      <c r="E31" s="8">
        <f t="shared" si="3"/>
        <v>33.211754546370564</v>
      </c>
      <c r="F31" s="1">
        <f>$F$16</f>
        <v>0.5</v>
      </c>
      <c r="G31" t="s">
        <v>12</v>
      </c>
      <c r="L31" t="s">
        <v>99</v>
      </c>
    </row>
    <row r="32" spans="2:12">
      <c r="B32" s="25" t="s">
        <v>62</v>
      </c>
      <c r="C32" s="11">
        <f>C25</f>
        <v>2394</v>
      </c>
      <c r="D32" s="8">
        <f t="shared" ref="D32:D33" si="5">E31</f>
        <v>33.211754546370564</v>
      </c>
      <c r="E32" s="8">
        <f t="shared" si="3"/>
        <v>33.711754546370564</v>
      </c>
      <c r="F32" s="6">
        <f>$F$25</f>
        <v>0.5</v>
      </c>
      <c r="G32" t="s">
        <v>12</v>
      </c>
      <c r="L32" t="s">
        <v>99</v>
      </c>
    </row>
    <row r="33" spans="2:12">
      <c r="B33" s="25" t="s">
        <v>17</v>
      </c>
      <c r="D33" s="8">
        <f t="shared" si="5"/>
        <v>33.711754546370564</v>
      </c>
      <c r="E33" s="8">
        <f t="shared" si="3"/>
        <v>35.711754546370564</v>
      </c>
      <c r="F33" s="1">
        <f>$F$11</f>
        <v>2</v>
      </c>
      <c r="G33" t="s">
        <v>13</v>
      </c>
      <c r="I33" t="s">
        <v>99</v>
      </c>
      <c r="J33" s="23"/>
    </row>
    <row r="34" spans="2:12">
      <c r="D34" s="8"/>
      <c r="E34" s="8"/>
      <c r="F34" s="6"/>
    </row>
    <row r="35" spans="2:12">
      <c r="B35" s="25" t="s">
        <v>30</v>
      </c>
      <c r="D35" s="8">
        <f>E33</f>
        <v>35.711754546370564</v>
      </c>
      <c r="E35" s="8">
        <f t="shared" si="3"/>
        <v>42.711754546370564</v>
      </c>
      <c r="F35" s="36">
        <f>F28</f>
        <v>7</v>
      </c>
      <c r="G35" t="s">
        <v>105</v>
      </c>
      <c r="J35" t="s">
        <v>99</v>
      </c>
    </row>
    <row r="36" spans="2:12">
      <c r="B36" s="25" t="s">
        <v>32</v>
      </c>
      <c r="D36" s="8">
        <f>E35</f>
        <v>42.711754546370564</v>
      </c>
      <c r="E36" s="8">
        <f t="shared" si="3"/>
        <v>43.211754546370564</v>
      </c>
      <c r="F36" s="6">
        <f>$F$14</f>
        <v>0.5</v>
      </c>
      <c r="G36" t="s">
        <v>12</v>
      </c>
      <c r="K36" t="s">
        <v>99</v>
      </c>
    </row>
    <row r="37" spans="2:12">
      <c r="B37" s="25" t="s">
        <v>31</v>
      </c>
      <c r="D37" s="8">
        <f>D36+0.1</f>
        <v>42.811754546370565</v>
      </c>
      <c r="E37" s="8">
        <f>MAX(D37+F37,E36+0.1)</f>
        <v>43.311754546370565</v>
      </c>
      <c r="F37" s="1">
        <f>$F$15</f>
        <v>0.5</v>
      </c>
      <c r="G37" t="s">
        <v>12</v>
      </c>
      <c r="L37" t="s">
        <v>96</v>
      </c>
    </row>
    <row r="38" spans="2:12">
      <c r="B38" s="25" t="s">
        <v>61</v>
      </c>
      <c r="D38" s="8">
        <f>D37+0.1</f>
        <v>42.911754546370567</v>
      </c>
      <c r="E38" s="8">
        <f t="shared" si="3"/>
        <v>43.411754546370567</v>
      </c>
      <c r="F38" s="1">
        <f>$F$16</f>
        <v>0.5</v>
      </c>
      <c r="G38" t="s">
        <v>12</v>
      </c>
      <c r="L38" t="s">
        <v>99</v>
      </c>
    </row>
    <row r="39" spans="2:12">
      <c r="B39" s="25" t="s">
        <v>62</v>
      </c>
      <c r="C39" s="11">
        <f>C32</f>
        <v>2394</v>
      </c>
      <c r="D39" s="8">
        <f t="shared" ref="D39:D40" si="6">E38</f>
        <v>43.411754546370567</v>
      </c>
      <c r="E39" s="8">
        <f t="shared" si="3"/>
        <v>43.911754546370567</v>
      </c>
      <c r="F39" s="6">
        <f>$F$25</f>
        <v>0.5</v>
      </c>
      <c r="G39" t="s">
        <v>12</v>
      </c>
      <c r="L39" t="s">
        <v>99</v>
      </c>
    </row>
    <row r="40" spans="2:12">
      <c r="B40" s="25" t="s">
        <v>26</v>
      </c>
      <c r="D40" s="8">
        <f t="shared" si="6"/>
        <v>43.911754546370567</v>
      </c>
      <c r="E40" s="8">
        <f t="shared" si="3"/>
        <v>45.911754546370567</v>
      </c>
      <c r="F40" s="1">
        <f>$F$11</f>
        <v>2</v>
      </c>
      <c r="G40" t="s">
        <v>13</v>
      </c>
      <c r="I40" t="s">
        <v>99</v>
      </c>
      <c r="J40" s="23"/>
    </row>
    <row r="41" spans="2:12">
      <c r="D41" s="8"/>
      <c r="E41" s="8"/>
      <c r="F41" s="6"/>
    </row>
    <row r="42" spans="2:12" ht="26">
      <c r="B42" s="25" t="s">
        <v>30</v>
      </c>
      <c r="D42" s="8">
        <f>E40</f>
        <v>45.911754546370567</v>
      </c>
      <c r="E42" s="8">
        <f t="shared" si="3"/>
        <v>52.911754546370567</v>
      </c>
      <c r="F42" s="7">
        <v>7</v>
      </c>
      <c r="G42" t="s">
        <v>104</v>
      </c>
      <c r="H42" s="25" t="s">
        <v>107</v>
      </c>
      <c r="J42" t="s">
        <v>99</v>
      </c>
    </row>
    <row r="43" spans="2:12">
      <c r="B43" s="25" t="s">
        <v>32</v>
      </c>
      <c r="D43" s="8">
        <f>E42</f>
        <v>52.911754546370567</v>
      </c>
      <c r="E43" s="8">
        <f t="shared" si="3"/>
        <v>53.411754546370567</v>
      </c>
      <c r="F43" s="6">
        <f>$F$14</f>
        <v>0.5</v>
      </c>
      <c r="G43" t="s">
        <v>12</v>
      </c>
      <c r="K43" t="s">
        <v>99</v>
      </c>
    </row>
    <row r="44" spans="2:12">
      <c r="B44" s="25" t="s">
        <v>31</v>
      </c>
      <c r="D44" s="8">
        <f>D43+0.1</f>
        <v>53.011754546370568</v>
      </c>
      <c r="E44" s="8">
        <f>MAX(D44+F44,E43+0.1)</f>
        <v>53.511754546370568</v>
      </c>
      <c r="F44" s="1">
        <f>$F$15</f>
        <v>0.5</v>
      </c>
      <c r="G44" t="s">
        <v>12</v>
      </c>
      <c r="L44" t="s">
        <v>96</v>
      </c>
    </row>
    <row r="45" spans="2:12">
      <c r="B45" s="25" t="s">
        <v>61</v>
      </c>
      <c r="D45" s="8">
        <f>D44+0.1</f>
        <v>53.11175454637057</v>
      </c>
      <c r="E45" s="8">
        <f t="shared" si="3"/>
        <v>53.61175454637057</v>
      </c>
      <c r="F45" s="1">
        <f>$F$16</f>
        <v>0.5</v>
      </c>
      <c r="G45" t="s">
        <v>12</v>
      </c>
      <c r="L45" t="s">
        <v>99</v>
      </c>
    </row>
    <row r="46" spans="2:12">
      <c r="B46" s="25" t="s">
        <v>62</v>
      </c>
      <c r="C46" s="11">
        <f>C39</f>
        <v>2394</v>
      </c>
      <c r="D46" s="8">
        <f t="shared" ref="D46:D47" si="7">E45</f>
        <v>53.61175454637057</v>
      </c>
      <c r="E46" s="8">
        <f t="shared" si="3"/>
        <v>54.11175454637057</v>
      </c>
      <c r="F46" s="6">
        <f>$F$25</f>
        <v>0.5</v>
      </c>
      <c r="G46" t="s">
        <v>12</v>
      </c>
      <c r="L46" t="s">
        <v>99</v>
      </c>
    </row>
    <row r="47" spans="2:12">
      <c r="B47" s="25" t="s">
        <v>25</v>
      </c>
      <c r="D47" s="8">
        <f t="shared" si="7"/>
        <v>54.11175454637057</v>
      </c>
      <c r="E47" s="8">
        <f t="shared" si="3"/>
        <v>56.11175454637057</v>
      </c>
      <c r="F47" s="1">
        <f>$F$11</f>
        <v>2</v>
      </c>
      <c r="G47" t="s">
        <v>13</v>
      </c>
      <c r="I47" t="s">
        <v>99</v>
      </c>
      <c r="J47" s="23"/>
    </row>
    <row r="48" spans="2:12">
      <c r="D48" s="8"/>
      <c r="E48" s="8"/>
      <c r="F48" s="6"/>
    </row>
    <row r="49" spans="2:12">
      <c r="B49" s="25" t="s">
        <v>30</v>
      </c>
      <c r="D49" s="8">
        <f>E47</f>
        <v>56.11175454637057</v>
      </c>
      <c r="E49" s="8">
        <f t="shared" si="3"/>
        <v>63.11175454637057</v>
      </c>
      <c r="F49" s="6">
        <f>$F$42</f>
        <v>7</v>
      </c>
      <c r="G49" t="s">
        <v>106</v>
      </c>
      <c r="J49" t="s">
        <v>99</v>
      </c>
    </row>
    <row r="50" spans="2:12">
      <c r="B50" s="25" t="s">
        <v>32</v>
      </c>
      <c r="D50" s="8">
        <f>E49</f>
        <v>63.11175454637057</v>
      </c>
      <c r="E50" s="8">
        <f t="shared" si="3"/>
        <v>63.61175454637057</v>
      </c>
      <c r="F50" s="6">
        <f>$F$14</f>
        <v>0.5</v>
      </c>
      <c r="G50" t="s">
        <v>12</v>
      </c>
      <c r="K50" t="s">
        <v>99</v>
      </c>
    </row>
    <row r="51" spans="2:12">
      <c r="B51" s="25" t="s">
        <v>31</v>
      </c>
      <c r="D51" s="8">
        <f>D50+0.1</f>
        <v>63.211754546370571</v>
      </c>
      <c r="E51" s="8">
        <f>MAX(D51+F51,E50+0.1)</f>
        <v>63.711754546370571</v>
      </c>
      <c r="F51" s="1">
        <f>$F$15</f>
        <v>0.5</v>
      </c>
      <c r="G51" t="s">
        <v>12</v>
      </c>
      <c r="L51" t="s">
        <v>96</v>
      </c>
    </row>
    <row r="52" spans="2:12">
      <c r="B52" s="25" t="s">
        <v>61</v>
      </c>
      <c r="D52" s="8">
        <f>D51+0.1</f>
        <v>63.311754546370572</v>
      </c>
      <c r="E52" s="8">
        <f t="shared" si="3"/>
        <v>63.811754546370572</v>
      </c>
      <c r="F52" s="1">
        <f>$F$16</f>
        <v>0.5</v>
      </c>
      <c r="G52" t="s">
        <v>12</v>
      </c>
      <c r="L52" t="s">
        <v>99</v>
      </c>
    </row>
    <row r="53" spans="2:12">
      <c r="B53" s="25" t="s">
        <v>62</v>
      </c>
      <c r="C53" s="11">
        <f>ROUND(0.1*C46,0)</f>
        <v>239</v>
      </c>
      <c r="D53" s="8">
        <f t="shared" ref="D53:D54" si="8">E52</f>
        <v>63.811754546370572</v>
      </c>
      <c r="E53" s="8">
        <f t="shared" si="3"/>
        <v>64.311754546370565</v>
      </c>
      <c r="F53" s="6">
        <f>$F$25</f>
        <v>0.5</v>
      </c>
      <c r="G53" t="s">
        <v>12</v>
      </c>
      <c r="L53" t="s">
        <v>99</v>
      </c>
    </row>
    <row r="54" spans="2:12">
      <c r="B54" s="25" t="s">
        <v>28</v>
      </c>
      <c r="D54" s="8">
        <f t="shared" si="8"/>
        <v>64.311754546370565</v>
      </c>
      <c r="E54" s="8">
        <f t="shared" si="3"/>
        <v>66.311754546370565</v>
      </c>
      <c r="F54" s="1">
        <f>$F$11</f>
        <v>2</v>
      </c>
      <c r="G54" t="s">
        <v>13</v>
      </c>
      <c r="I54" t="s">
        <v>99</v>
      </c>
      <c r="J54" s="23"/>
    </row>
    <row r="55" spans="2:12">
      <c r="D55" s="8"/>
      <c r="E55" s="8"/>
      <c r="F55" s="6"/>
    </row>
    <row r="56" spans="2:12">
      <c r="B56" s="25" t="s">
        <v>30</v>
      </c>
      <c r="D56" s="8">
        <f>E54</f>
        <v>66.311754546370565</v>
      </c>
      <c r="E56" s="8">
        <f t="shared" si="3"/>
        <v>73.311754546370565</v>
      </c>
      <c r="F56" s="6">
        <f>$F$49</f>
        <v>7</v>
      </c>
      <c r="G56" t="s">
        <v>12</v>
      </c>
      <c r="J56" t="s">
        <v>99</v>
      </c>
    </row>
    <row r="57" spans="2:12">
      <c r="B57" s="25" t="s">
        <v>32</v>
      </c>
      <c r="D57" s="8">
        <f>E56</f>
        <v>73.311754546370565</v>
      </c>
      <c r="E57" s="8">
        <f t="shared" si="3"/>
        <v>73.811754546370565</v>
      </c>
      <c r="F57" s="6">
        <f>$F$14</f>
        <v>0.5</v>
      </c>
      <c r="G57" t="s">
        <v>12</v>
      </c>
      <c r="K57" t="s">
        <v>99</v>
      </c>
    </row>
    <row r="58" spans="2:12">
      <c r="B58" s="25" t="s">
        <v>31</v>
      </c>
      <c r="D58" s="8">
        <f>D57+0.1</f>
        <v>73.41175454637056</v>
      </c>
      <c r="E58" s="8">
        <f>MAX(D58+F58,E57+0.1)</f>
        <v>73.91175454637056</v>
      </c>
      <c r="F58" s="1">
        <f>$F$15</f>
        <v>0.5</v>
      </c>
      <c r="G58" t="s">
        <v>12</v>
      </c>
      <c r="L58" t="s">
        <v>96</v>
      </c>
    </row>
    <row r="59" spans="2:12">
      <c r="B59" s="25" t="s">
        <v>61</v>
      </c>
      <c r="D59" s="8">
        <f>D58+0.1</f>
        <v>73.511754546370554</v>
      </c>
      <c r="E59" s="8">
        <f t="shared" si="3"/>
        <v>74.011754546370554</v>
      </c>
      <c r="F59" s="1">
        <f>$F$16</f>
        <v>0.5</v>
      </c>
      <c r="G59" t="s">
        <v>12</v>
      </c>
      <c r="L59" t="s">
        <v>99</v>
      </c>
    </row>
    <row r="60" spans="2:12">
      <c r="B60" s="25" t="s">
        <v>62</v>
      </c>
      <c r="C60" s="11">
        <f>ROUND(0.1*C53,0)</f>
        <v>24</v>
      </c>
      <c r="D60" s="8">
        <f t="shared" ref="D60:D61" si="9">E59</f>
        <v>74.011754546370554</v>
      </c>
      <c r="E60" s="8">
        <f t="shared" si="3"/>
        <v>74.511754546370554</v>
      </c>
      <c r="F60" s="6">
        <f>$F$25</f>
        <v>0.5</v>
      </c>
      <c r="G60" t="s">
        <v>12</v>
      </c>
      <c r="L60" t="s">
        <v>99</v>
      </c>
    </row>
    <row r="61" spans="2:12">
      <c r="B61" s="25" t="s">
        <v>29</v>
      </c>
      <c r="D61" s="8">
        <f t="shared" si="9"/>
        <v>74.511754546370554</v>
      </c>
      <c r="E61" s="8">
        <f t="shared" si="3"/>
        <v>76.511754546370554</v>
      </c>
      <c r="F61" s="1">
        <f>$F$11</f>
        <v>2</v>
      </c>
      <c r="G61" t="s">
        <v>13</v>
      </c>
      <c r="I61" t="s">
        <v>99</v>
      </c>
      <c r="J61" s="23"/>
    </row>
    <row r="62" spans="2:12">
      <c r="D62" s="8"/>
      <c r="E62" s="8"/>
      <c r="F62" s="6"/>
    </row>
    <row r="63" spans="2:12">
      <c r="B63" s="25" t="s">
        <v>30</v>
      </c>
      <c r="D63" s="8">
        <f>E61</f>
        <v>76.511754546370554</v>
      </c>
      <c r="E63" s="8">
        <f t="shared" ref="E63:E64" si="10">D63+F63</f>
        <v>83.511754546370554</v>
      </c>
      <c r="F63" s="6">
        <f>$F$49</f>
        <v>7</v>
      </c>
      <c r="G63" t="s">
        <v>12</v>
      </c>
      <c r="J63" t="s">
        <v>99</v>
      </c>
    </row>
    <row r="64" spans="2:12">
      <c r="B64" s="25" t="s">
        <v>32</v>
      </c>
      <c r="D64" s="8">
        <f>E63</f>
        <v>83.511754546370554</v>
      </c>
      <c r="E64" s="8">
        <f t="shared" si="10"/>
        <v>84.011754546370554</v>
      </c>
      <c r="F64" s="6">
        <f>$F$14</f>
        <v>0.5</v>
      </c>
      <c r="G64" t="s">
        <v>12</v>
      </c>
      <c r="K64" t="s">
        <v>99</v>
      </c>
    </row>
    <row r="65" spans="2:12">
      <c r="B65" s="25" t="s">
        <v>31</v>
      </c>
      <c r="D65" s="8">
        <f>D64+0.1</f>
        <v>83.611754546370548</v>
      </c>
      <c r="E65" s="8">
        <f>MAX(D65+F65,E64+0.1)</f>
        <v>84.111754546370548</v>
      </c>
      <c r="F65" s="1">
        <f>$F$15</f>
        <v>0.5</v>
      </c>
      <c r="G65" t="s">
        <v>12</v>
      </c>
      <c r="L65" t="s">
        <v>96</v>
      </c>
    </row>
    <row r="66" spans="2:12">
      <c r="B66" s="25" t="s">
        <v>61</v>
      </c>
      <c r="D66" s="8">
        <f>D65+0.1</f>
        <v>83.711754546370543</v>
      </c>
      <c r="E66" s="8">
        <f t="shared" ref="E66:E68" si="11">D66+F66</f>
        <v>84.211754546370543</v>
      </c>
      <c r="F66" s="1">
        <f>$F$16</f>
        <v>0.5</v>
      </c>
      <c r="G66" t="s">
        <v>12</v>
      </c>
      <c r="L66" t="s">
        <v>99</v>
      </c>
    </row>
    <row r="67" spans="2:12">
      <c r="B67" s="25" t="s">
        <v>62</v>
      </c>
      <c r="C67" s="11">
        <f>ROUND(0.1*C60,0)</f>
        <v>2</v>
      </c>
      <c r="D67" s="8">
        <f t="shared" ref="D67:D68" si="12">E66</f>
        <v>84.211754546370543</v>
      </c>
      <c r="E67" s="8">
        <f t="shared" si="11"/>
        <v>84.711754546370543</v>
      </c>
      <c r="F67" s="6">
        <f>$F$25</f>
        <v>0.5</v>
      </c>
      <c r="G67" t="s">
        <v>12</v>
      </c>
      <c r="L67" t="s">
        <v>99</v>
      </c>
    </row>
    <row r="68" spans="2:12">
      <c r="B68" s="25" t="s">
        <v>53</v>
      </c>
      <c r="D68" s="8">
        <f t="shared" si="12"/>
        <v>84.711754546370543</v>
      </c>
      <c r="E68" s="8">
        <f t="shared" si="11"/>
        <v>86.711754546370543</v>
      </c>
      <c r="F68" s="1">
        <f>$F$11</f>
        <v>2</v>
      </c>
      <c r="G68" t="s">
        <v>13</v>
      </c>
      <c r="I68" t="s">
        <v>99</v>
      </c>
      <c r="J68" s="23"/>
    </row>
    <row r="69" spans="2:12">
      <c r="D69" s="8"/>
      <c r="E69" s="8"/>
      <c r="F69" s="6"/>
    </row>
    <row r="70" spans="2:12">
      <c r="B70" s="25" t="s">
        <v>30</v>
      </c>
      <c r="D70" s="8">
        <f>E68</f>
        <v>86.711754546370543</v>
      </c>
      <c r="E70" s="8">
        <f t="shared" ref="E70:E71" si="13">D70+F70</f>
        <v>93.711754546370543</v>
      </c>
      <c r="F70" s="6">
        <f>$F$49</f>
        <v>7</v>
      </c>
      <c r="G70" t="s">
        <v>12</v>
      </c>
      <c r="J70" t="s">
        <v>99</v>
      </c>
    </row>
    <row r="71" spans="2:12">
      <c r="B71" s="25" t="s">
        <v>32</v>
      </c>
      <c r="D71" s="8">
        <f>E70</f>
        <v>93.711754546370543</v>
      </c>
      <c r="E71" s="8">
        <f t="shared" si="13"/>
        <v>94.211754546370543</v>
      </c>
      <c r="F71" s="6">
        <f>$F$14</f>
        <v>0.5</v>
      </c>
      <c r="G71" t="s">
        <v>12</v>
      </c>
      <c r="K71" t="s">
        <v>99</v>
      </c>
    </row>
    <row r="72" spans="2:12">
      <c r="B72" s="25" t="s">
        <v>31</v>
      </c>
      <c r="D72" s="8">
        <f>D71+0.1</f>
        <v>93.811754546370537</v>
      </c>
      <c r="E72" s="8">
        <f>MAX(D72+F72,E71+0.1)</f>
        <v>94.311754546370537</v>
      </c>
      <c r="F72" s="1">
        <f>$F$15</f>
        <v>0.5</v>
      </c>
      <c r="G72" t="s">
        <v>12</v>
      </c>
      <c r="L72" t="s">
        <v>96</v>
      </c>
    </row>
    <row r="73" spans="2:12">
      <c r="B73" s="25" t="s">
        <v>61</v>
      </c>
      <c r="D73" s="8">
        <f>D72+0.1</f>
        <v>93.911754546370531</v>
      </c>
      <c r="E73" s="8">
        <f t="shared" ref="E73:E74" si="14">D73+F73</f>
        <v>94.411754546370531</v>
      </c>
      <c r="F73" s="1">
        <f>$F$16</f>
        <v>0.5</v>
      </c>
      <c r="G73" t="s">
        <v>12</v>
      </c>
      <c r="L73" t="s">
        <v>99</v>
      </c>
    </row>
    <row r="74" spans="2:12">
      <c r="B74" s="25" t="s">
        <v>62</v>
      </c>
      <c r="C74" s="11">
        <f>ROUND(0.1*C67,0)</f>
        <v>0</v>
      </c>
      <c r="D74" s="8">
        <f t="shared" ref="D74" si="15">E73</f>
        <v>94.411754546370531</v>
      </c>
      <c r="E74" s="8">
        <f t="shared" si="14"/>
        <v>94.911754546370531</v>
      </c>
      <c r="F74" s="6">
        <f>$F$25</f>
        <v>0.5</v>
      </c>
      <c r="G74" t="s">
        <v>12</v>
      </c>
      <c r="L74" t="s">
        <v>99</v>
      </c>
    </row>
    <row r="75" spans="2:12">
      <c r="B75" s="25" t="s">
        <v>33</v>
      </c>
      <c r="D75" s="8">
        <f>E74</f>
        <v>94.911754546370531</v>
      </c>
      <c r="E75" s="8">
        <f t="shared" si="3"/>
        <v>95.411754546370531</v>
      </c>
      <c r="F75" s="7">
        <v>0.5</v>
      </c>
      <c r="J75" s="23"/>
      <c r="L75" t="s">
        <v>99</v>
      </c>
    </row>
    <row r="76" spans="2:12" ht="27">
      <c r="B76" s="32" t="s">
        <v>65</v>
      </c>
      <c r="C76" s="11">
        <f>C74</f>
        <v>0</v>
      </c>
      <c r="D76" s="8"/>
      <c r="E76" s="10">
        <f>E75</f>
        <v>95.411754546370531</v>
      </c>
      <c r="F76" s="6"/>
      <c r="H76" s="26" t="s">
        <v>51</v>
      </c>
    </row>
    <row r="77" spans="2:12" ht="18">
      <c r="B77" s="30" t="s">
        <v>14</v>
      </c>
      <c r="D77" s="15">
        <f>MAX(E76,E7,E5)</f>
        <v>95.411754546370531</v>
      </c>
      <c r="E77" s="8"/>
      <c r="F77" s="6"/>
    </row>
    <row r="78" spans="2:12">
      <c r="E78" s="8"/>
    </row>
    <row r="79" spans="2:12" ht="18">
      <c r="B79" s="33" t="s">
        <v>69</v>
      </c>
      <c r="D79" s="19"/>
      <c r="E79" s="19"/>
      <c r="F79" s="17"/>
      <c r="G79" s="18"/>
      <c r="H79" s="27"/>
    </row>
    <row r="80" spans="2:12" ht="18">
      <c r="B80" s="34" t="s">
        <v>35</v>
      </c>
      <c r="D80" s="19"/>
      <c r="E80" s="19"/>
      <c r="F80" s="19">
        <f>F4</f>
        <v>1.5</v>
      </c>
      <c r="G80" s="22" t="s">
        <v>43</v>
      </c>
      <c r="H80" s="27"/>
    </row>
    <row r="81" spans="2:8" ht="18">
      <c r="B81" s="34" t="s">
        <v>36</v>
      </c>
      <c r="D81" s="19"/>
      <c r="E81" s="19"/>
      <c r="F81" s="19">
        <f>F19+F26+F33+F40+F47+F54+F61+F68</f>
        <v>16</v>
      </c>
      <c r="G81" s="18"/>
      <c r="H81" s="27"/>
    </row>
    <row r="82" spans="2:8" ht="18">
      <c r="B82" s="34" t="s">
        <v>37</v>
      </c>
      <c r="D82" s="19"/>
      <c r="E82" s="19"/>
      <c r="F82" s="19">
        <f>F70+F63+F56+F49+F42+F35+F28+F21</f>
        <v>56</v>
      </c>
      <c r="G82" s="18"/>
      <c r="H82" s="27"/>
    </row>
    <row r="83" spans="2:8" ht="18">
      <c r="B83" s="34" t="s">
        <v>38</v>
      </c>
      <c r="D83" s="19"/>
      <c r="E83" s="19"/>
      <c r="F83" s="19">
        <f>F14*10</f>
        <v>5</v>
      </c>
      <c r="G83" s="18"/>
      <c r="H83" s="27"/>
    </row>
    <row r="84" spans="2:8" ht="18">
      <c r="B84" s="34" t="s">
        <v>39</v>
      </c>
      <c r="D84" s="19"/>
      <c r="E84" s="19"/>
      <c r="F84" s="19">
        <f>(D16-D14)*10</f>
        <v>1.9999999999999929</v>
      </c>
      <c r="G84" s="22" t="s">
        <v>42</v>
      </c>
      <c r="H84" s="27"/>
    </row>
    <row r="85" spans="2:8" ht="36">
      <c r="B85" s="34" t="s">
        <v>40</v>
      </c>
      <c r="D85" s="20"/>
      <c r="E85" s="19"/>
      <c r="F85" s="19">
        <f>E76-F81-F82-F83-F84-F80</f>
        <v>14.911754546370538</v>
      </c>
      <c r="G85" s="18"/>
      <c r="H85" s="27"/>
    </row>
    <row r="86" spans="2:8" ht="19" thickBot="1">
      <c r="B86" s="35"/>
      <c r="D86" s="19"/>
      <c r="E86" s="19"/>
      <c r="F86" s="21">
        <f>SUM(F80:F85)</f>
        <v>95.411754546370531</v>
      </c>
      <c r="G86" s="18" t="s">
        <v>41</v>
      </c>
      <c r="H86" s="27"/>
    </row>
    <row r="87" spans="2:8" ht="14" thickTop="1">
      <c r="D87" s="8"/>
      <c r="E87" s="8"/>
    </row>
    <row r="88" spans="2:8">
      <c r="D88" s="8"/>
      <c r="E88" s="8"/>
    </row>
    <row r="89" spans="2:8">
      <c r="D89" s="8"/>
      <c r="E89" s="8"/>
    </row>
  </sheetData>
  <phoneticPr fontId="8" type="noConversion"/>
  <pageMargins left="0.75" right="0.75" top="1" bottom="1" header="0.5" footer="0.5"/>
  <extLst>
    <ext xmlns:mx="http://schemas.microsoft.com/office/mac/excel/2008/main" uri="http://schemas.microsoft.com/office/mac/excel/2008/main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/>
  <dimension ref="B1:L89"/>
  <sheetViews>
    <sheetView topLeftCell="B16" workbookViewId="0">
      <selection activeCell="F68" sqref="F68"/>
    </sheetView>
  </sheetViews>
  <sheetFormatPr baseColWidth="10" defaultRowHeight="13"/>
  <cols>
    <col min="2" max="2" width="33" style="25" customWidth="1"/>
    <col min="3" max="3" width="10.7109375" style="11"/>
    <col min="4" max="6" width="10.7109375" style="1"/>
    <col min="7" max="7" width="36.42578125" customWidth="1"/>
    <col min="8" max="8" width="47.5703125" style="25" customWidth="1"/>
  </cols>
  <sheetData>
    <row r="1" spans="2:12">
      <c r="B1" s="28" t="s">
        <v>10</v>
      </c>
    </row>
    <row r="2" spans="2:12" s="2" customFormat="1">
      <c r="B2" s="29">
        <v>39690</v>
      </c>
      <c r="C2" s="3" t="s">
        <v>71</v>
      </c>
      <c r="D2" s="3" t="s">
        <v>20</v>
      </c>
      <c r="E2" s="3" t="s">
        <v>21</v>
      </c>
      <c r="F2" s="3" t="s">
        <v>49</v>
      </c>
      <c r="G2" s="2" t="s">
        <v>22</v>
      </c>
      <c r="H2" s="26" t="s">
        <v>86</v>
      </c>
      <c r="I2" s="2" t="s">
        <v>91</v>
      </c>
      <c r="J2" s="2" t="s">
        <v>92</v>
      </c>
      <c r="K2" s="2" t="s">
        <v>93</v>
      </c>
      <c r="L2" s="2" t="s">
        <v>94</v>
      </c>
    </row>
    <row r="3" spans="2:12">
      <c r="C3" s="3" t="s">
        <v>72</v>
      </c>
      <c r="D3" s="1" t="s">
        <v>50</v>
      </c>
      <c r="E3" s="1" t="s">
        <v>50</v>
      </c>
      <c r="F3" s="1" t="s">
        <v>50</v>
      </c>
    </row>
    <row r="4" spans="2:12" ht="18">
      <c r="B4" s="30" t="s">
        <v>15</v>
      </c>
      <c r="C4" s="11">
        <f>3*14*57</f>
        <v>2394</v>
      </c>
      <c r="D4" s="15">
        <v>0</v>
      </c>
      <c r="E4" s="8">
        <f t="shared" ref="E4:E8" si="0">D4+F4</f>
        <v>1.5</v>
      </c>
      <c r="F4" s="7">
        <v>1.5</v>
      </c>
      <c r="G4" t="s">
        <v>19</v>
      </c>
    </row>
    <row r="5" spans="2:12" ht="18">
      <c r="B5" s="31" t="s">
        <v>67</v>
      </c>
      <c r="D5" s="8">
        <f>E4</f>
        <v>1.5</v>
      </c>
      <c r="E5" s="10">
        <f t="shared" si="0"/>
        <v>34.860128000000003</v>
      </c>
      <c r="F5" s="9">
        <f>512*1.05*4096/75000+4</f>
        <v>33.360128000000003</v>
      </c>
      <c r="G5" t="s">
        <v>64</v>
      </c>
      <c r="H5" s="25" t="s">
        <v>52</v>
      </c>
      <c r="K5" t="s">
        <v>95</v>
      </c>
    </row>
    <row r="6" spans="2:12" ht="26">
      <c r="B6" s="25" t="s">
        <v>58</v>
      </c>
      <c r="D6" s="8">
        <f>E4</f>
        <v>1.5</v>
      </c>
      <c r="E6" s="8">
        <f t="shared" si="0"/>
        <v>8.31175454637056</v>
      </c>
      <c r="F6" s="12">
        <f>2*SQRT(1.16/0.1)</f>
        <v>6.81175454637056</v>
      </c>
      <c r="G6" t="s">
        <v>56</v>
      </c>
      <c r="H6" s="25" t="s">
        <v>57</v>
      </c>
    </row>
    <row r="7" spans="2:12" ht="18">
      <c r="B7" s="31" t="s">
        <v>68</v>
      </c>
      <c r="D7" s="8">
        <f>E6</f>
        <v>8.31175454637056</v>
      </c>
      <c r="E7" s="10">
        <f t="shared" si="0"/>
        <v>28.311754546370558</v>
      </c>
      <c r="F7" s="12">
        <v>20</v>
      </c>
      <c r="G7" s="13" t="s">
        <v>16</v>
      </c>
      <c r="H7" s="25" t="s">
        <v>54</v>
      </c>
    </row>
    <row r="8" spans="2:12" ht="26">
      <c r="B8" s="25" t="s">
        <v>24</v>
      </c>
      <c r="D8" s="8">
        <f>D4</f>
        <v>0</v>
      </c>
      <c r="E8" s="8">
        <f t="shared" si="0"/>
        <v>1</v>
      </c>
      <c r="F8" s="12">
        <v>1</v>
      </c>
      <c r="G8" s="13" t="s">
        <v>11</v>
      </c>
      <c r="H8" s="25" t="s">
        <v>45</v>
      </c>
    </row>
    <row r="9" spans="2:12">
      <c r="D9" s="8"/>
      <c r="E9" s="8"/>
      <c r="F9" s="5"/>
    </row>
    <row r="10" spans="2:12">
      <c r="D10" s="8"/>
      <c r="E10" s="8"/>
    </row>
    <row r="11" spans="2:12" ht="26">
      <c r="B11" s="25" t="s">
        <v>90</v>
      </c>
      <c r="D11" s="8">
        <f>E4</f>
        <v>1.5</v>
      </c>
      <c r="E11" s="8">
        <f>D11+F11</f>
        <v>3.5</v>
      </c>
      <c r="F11" s="7">
        <v>2</v>
      </c>
      <c r="G11" t="s">
        <v>48</v>
      </c>
      <c r="H11" s="25" t="s">
        <v>46</v>
      </c>
      <c r="I11" t="s">
        <v>96</v>
      </c>
    </row>
    <row r="12" spans="2:12">
      <c r="B12" s="25" t="s">
        <v>97</v>
      </c>
      <c r="D12" s="8">
        <f>E6</f>
        <v>8.31175454637056</v>
      </c>
      <c r="E12" s="8">
        <f>D12+F12</f>
        <v>13.31175454637056</v>
      </c>
      <c r="F12" s="7">
        <v>5</v>
      </c>
      <c r="I12" t="s">
        <v>99</v>
      </c>
    </row>
    <row r="13" spans="2:12">
      <c r="B13" s="25" t="s">
        <v>30</v>
      </c>
      <c r="D13" s="8">
        <f>E6</f>
        <v>8.31175454637056</v>
      </c>
      <c r="E13" s="8">
        <f>D13+F13</f>
        <v>13.31175454637056</v>
      </c>
      <c r="F13" s="14">
        <f>F12</f>
        <v>5</v>
      </c>
      <c r="H13" s="25" t="s">
        <v>98</v>
      </c>
      <c r="J13" t="s">
        <v>96</v>
      </c>
    </row>
    <row r="14" spans="2:12" ht="26">
      <c r="B14" s="25" t="s">
        <v>32</v>
      </c>
      <c r="D14" s="8">
        <f>E13</f>
        <v>13.31175454637056</v>
      </c>
      <c r="E14" s="8">
        <f t="shared" ref="E14:E17" si="1">D14+F14</f>
        <v>13.81175454637056</v>
      </c>
      <c r="F14" s="7">
        <v>0.5</v>
      </c>
      <c r="G14" t="s">
        <v>44</v>
      </c>
      <c r="H14" s="25" t="s">
        <v>88</v>
      </c>
      <c r="K14" t="s">
        <v>96</v>
      </c>
    </row>
    <row r="15" spans="2:12">
      <c r="B15" s="25" t="s">
        <v>18</v>
      </c>
      <c r="D15" s="8">
        <f>D14+0.1</f>
        <v>13.41175454637056</v>
      </c>
      <c r="E15" s="8">
        <f>MAX(D15+F15,E14+0.1)</f>
        <v>13.91175454637056</v>
      </c>
      <c r="F15" s="7">
        <v>0.5</v>
      </c>
      <c r="G15" s="24" t="s">
        <v>66</v>
      </c>
      <c r="H15" s="25" t="s">
        <v>108</v>
      </c>
      <c r="L15" t="s">
        <v>99</v>
      </c>
    </row>
    <row r="16" spans="2:12" ht="26">
      <c r="B16" s="25" t="s">
        <v>61</v>
      </c>
      <c r="D16" s="8">
        <f>D15+0.1</f>
        <v>13.511754546370559</v>
      </c>
      <c r="E16" s="8">
        <f t="shared" si="1"/>
        <v>14.011754546370559</v>
      </c>
      <c r="F16" s="7">
        <v>0.5</v>
      </c>
      <c r="G16" s="25" t="s">
        <v>70</v>
      </c>
      <c r="H16" s="25" t="s">
        <v>109</v>
      </c>
      <c r="L16" t="s">
        <v>99</v>
      </c>
    </row>
    <row r="17" spans="2:12">
      <c r="B17" s="25" t="s">
        <v>47</v>
      </c>
      <c r="D17" s="8">
        <f>E16</f>
        <v>14.011754546370559</v>
      </c>
      <c r="E17" s="8">
        <f t="shared" si="1"/>
        <v>18.011754546370561</v>
      </c>
      <c r="F17" s="7">
        <v>4</v>
      </c>
      <c r="G17" t="s">
        <v>23</v>
      </c>
      <c r="H17" s="25" t="s">
        <v>34</v>
      </c>
      <c r="L17" t="s">
        <v>96</v>
      </c>
    </row>
    <row r="18" spans="2:12">
      <c r="D18" s="8"/>
      <c r="E18" s="8"/>
      <c r="F18" s="5"/>
    </row>
    <row r="19" spans="2:12" ht="26">
      <c r="B19" s="25" t="s">
        <v>63</v>
      </c>
      <c r="D19" s="8">
        <f>MAX(E8,E13)</f>
        <v>13.31175454637056</v>
      </c>
      <c r="E19" s="8">
        <f t="shared" ref="E19" si="2">D19+F19</f>
        <v>15.31175454637056</v>
      </c>
      <c r="F19" s="1">
        <f>$F$11</f>
        <v>2</v>
      </c>
      <c r="G19" t="s">
        <v>55</v>
      </c>
      <c r="H19" s="25" t="s">
        <v>100</v>
      </c>
      <c r="I19" t="s">
        <v>99</v>
      </c>
    </row>
    <row r="20" spans="2:12">
      <c r="D20" s="8"/>
      <c r="E20" s="8"/>
    </row>
    <row r="21" spans="2:12">
      <c r="B21" s="25" t="s">
        <v>30</v>
      </c>
      <c r="D21" s="8">
        <f>MAX(E19,E14)</f>
        <v>15.31175454637056</v>
      </c>
      <c r="E21" s="8">
        <f t="shared" ref="E21:E25" si="3">D21+F21</f>
        <v>15.41175454637056</v>
      </c>
      <c r="F21" s="7">
        <v>0.1</v>
      </c>
      <c r="G21" t="s">
        <v>89</v>
      </c>
      <c r="J21" t="s">
        <v>99</v>
      </c>
    </row>
    <row r="22" spans="2:12">
      <c r="B22" s="25" t="s">
        <v>32</v>
      </c>
      <c r="D22" s="8">
        <f>E21</f>
        <v>15.41175454637056</v>
      </c>
      <c r="E22" s="8">
        <f t="shared" si="3"/>
        <v>15.91175454637056</v>
      </c>
      <c r="F22" s="1">
        <f>$F$14</f>
        <v>0.5</v>
      </c>
      <c r="G22" t="s">
        <v>12</v>
      </c>
      <c r="K22" t="s">
        <v>99</v>
      </c>
    </row>
    <row r="23" spans="2:12">
      <c r="B23" s="25" t="s">
        <v>31</v>
      </c>
      <c r="D23" s="8">
        <f>D22+0.1</f>
        <v>15.511754546370559</v>
      </c>
      <c r="E23" s="8">
        <f>MAX(D23+F23,E22+0.1)</f>
        <v>16.011754546370561</v>
      </c>
      <c r="F23" s="1">
        <f>$F$15</f>
        <v>0.5</v>
      </c>
      <c r="G23" t="s">
        <v>12</v>
      </c>
      <c r="L23" t="s">
        <v>96</v>
      </c>
    </row>
    <row r="24" spans="2:12">
      <c r="B24" s="25" t="s">
        <v>61</v>
      </c>
      <c r="D24" s="8">
        <f>D23+0.1</f>
        <v>15.611754546370559</v>
      </c>
      <c r="E24" s="8">
        <f t="shared" si="3"/>
        <v>16.111754546370559</v>
      </c>
      <c r="F24" s="1">
        <f>$F$16</f>
        <v>0.5</v>
      </c>
      <c r="G24" t="s">
        <v>12</v>
      </c>
      <c r="L24" t="s">
        <v>99</v>
      </c>
    </row>
    <row r="25" spans="2:12">
      <c r="B25" s="25" t="s">
        <v>85</v>
      </c>
      <c r="C25" s="11">
        <f>C4</f>
        <v>2394</v>
      </c>
      <c r="D25" s="8">
        <f>MAX(E24,E17)</f>
        <v>18.011754546370561</v>
      </c>
      <c r="E25" s="8">
        <f t="shared" si="3"/>
        <v>18.511754546370561</v>
      </c>
      <c r="F25" s="7">
        <v>0.5</v>
      </c>
      <c r="G25" t="s">
        <v>23</v>
      </c>
      <c r="H25" s="25" t="s">
        <v>87</v>
      </c>
      <c r="L25" t="s">
        <v>99</v>
      </c>
    </row>
    <row r="26" spans="2:12">
      <c r="B26" s="25" t="s">
        <v>27</v>
      </c>
      <c r="D26" s="8">
        <f t="shared" ref="D26" si="4">E25</f>
        <v>18.511754546370561</v>
      </c>
      <c r="E26" s="8">
        <f>D26+F26</f>
        <v>20.511754546370561</v>
      </c>
      <c r="F26" s="1">
        <f>$F$11</f>
        <v>2</v>
      </c>
      <c r="G26" t="s">
        <v>13</v>
      </c>
      <c r="I26" t="s">
        <v>99</v>
      </c>
      <c r="J26" s="23"/>
    </row>
    <row r="27" spans="2:12">
      <c r="D27" s="8"/>
      <c r="E27" s="8"/>
    </row>
    <row r="28" spans="2:12">
      <c r="B28" s="25" t="s">
        <v>30</v>
      </c>
      <c r="D28" s="8">
        <f>E26</f>
        <v>20.511754546370561</v>
      </c>
      <c r="E28" s="8">
        <f>D28+F28</f>
        <v>21.011754546370561</v>
      </c>
      <c r="F28" s="6">
        <f>5*F21</f>
        <v>0.5</v>
      </c>
      <c r="G28" t="s">
        <v>105</v>
      </c>
      <c r="J28" t="s">
        <v>99</v>
      </c>
    </row>
    <row r="29" spans="2:12">
      <c r="B29" s="25" t="s">
        <v>32</v>
      </c>
      <c r="D29" s="8">
        <f>E28</f>
        <v>21.011754546370561</v>
      </c>
      <c r="E29" s="8">
        <f>D29+F29</f>
        <v>21.511754546370561</v>
      </c>
      <c r="F29" s="6">
        <f>$F$14</f>
        <v>0.5</v>
      </c>
      <c r="G29" t="s">
        <v>12</v>
      </c>
      <c r="K29" t="s">
        <v>99</v>
      </c>
    </row>
    <row r="30" spans="2:12">
      <c r="B30" s="25" t="s">
        <v>31</v>
      </c>
      <c r="D30" s="8">
        <f>D29+0.1</f>
        <v>21.111754546370562</v>
      </c>
      <c r="E30" s="8">
        <f>MAX(D30+F30,E29+0.1)</f>
        <v>21.611754546370562</v>
      </c>
      <c r="F30" s="1">
        <f>$F$15</f>
        <v>0.5</v>
      </c>
      <c r="G30" t="s">
        <v>12</v>
      </c>
      <c r="L30" t="s">
        <v>96</v>
      </c>
    </row>
    <row r="31" spans="2:12">
      <c r="B31" s="25" t="s">
        <v>61</v>
      </c>
      <c r="D31" s="8">
        <f>D30+0.1</f>
        <v>21.211754546370564</v>
      </c>
      <c r="E31" s="8">
        <f>D31+F31</f>
        <v>21.711754546370564</v>
      </c>
      <c r="F31" s="1">
        <f>$F$16</f>
        <v>0.5</v>
      </c>
      <c r="G31" t="s">
        <v>12</v>
      </c>
      <c r="L31" t="s">
        <v>99</v>
      </c>
    </row>
    <row r="32" spans="2:12">
      <c r="B32" s="25" t="s">
        <v>62</v>
      </c>
      <c r="C32" s="11">
        <f>C25</f>
        <v>2394</v>
      </c>
      <c r="D32" s="8">
        <f t="shared" ref="D32:D33" si="5">E31</f>
        <v>21.711754546370564</v>
      </c>
      <c r="E32" s="8">
        <f>D32+F32</f>
        <v>22.211754546370564</v>
      </c>
      <c r="F32" s="6">
        <f>$F$25</f>
        <v>0.5</v>
      </c>
      <c r="G32" t="s">
        <v>12</v>
      </c>
      <c r="L32" t="s">
        <v>99</v>
      </c>
    </row>
    <row r="33" spans="2:12">
      <c r="B33" s="25" t="s">
        <v>17</v>
      </c>
      <c r="D33" s="8">
        <f t="shared" si="5"/>
        <v>22.211754546370564</v>
      </c>
      <c r="E33" s="8">
        <f>D33+F33</f>
        <v>24.211754546370564</v>
      </c>
      <c r="F33" s="1">
        <f>$F$11</f>
        <v>2</v>
      </c>
      <c r="G33" t="s">
        <v>13</v>
      </c>
      <c r="I33" t="s">
        <v>99</v>
      </c>
      <c r="J33" s="23"/>
    </row>
    <row r="34" spans="2:12">
      <c r="D34" s="8"/>
      <c r="E34" s="8"/>
      <c r="F34" s="6"/>
    </row>
    <row r="35" spans="2:12">
      <c r="B35" s="25" t="s">
        <v>30</v>
      </c>
      <c r="D35" s="8">
        <f>E33</f>
        <v>24.211754546370564</v>
      </c>
      <c r="E35" s="8">
        <f>D35+F35</f>
        <v>26.711754546370564</v>
      </c>
      <c r="F35" s="6">
        <f>5*F28</f>
        <v>2.5</v>
      </c>
      <c r="G35" t="s">
        <v>105</v>
      </c>
      <c r="J35" t="s">
        <v>99</v>
      </c>
    </row>
    <row r="36" spans="2:12">
      <c r="B36" s="25" t="s">
        <v>32</v>
      </c>
      <c r="D36" s="8">
        <f>E35</f>
        <v>26.711754546370564</v>
      </c>
      <c r="E36" s="8">
        <f>D36+F36</f>
        <v>27.211754546370564</v>
      </c>
      <c r="F36" s="6">
        <f>$F$14</f>
        <v>0.5</v>
      </c>
      <c r="G36" t="s">
        <v>12</v>
      </c>
      <c r="K36" t="s">
        <v>99</v>
      </c>
    </row>
    <row r="37" spans="2:12">
      <c r="B37" s="25" t="s">
        <v>31</v>
      </c>
      <c r="D37" s="8">
        <f>D36+0.1</f>
        <v>26.811754546370565</v>
      </c>
      <c r="E37" s="8">
        <f>MAX(D37+F37,E36+0.1)</f>
        <v>27.311754546370565</v>
      </c>
      <c r="F37" s="1">
        <f>$F$15</f>
        <v>0.5</v>
      </c>
      <c r="G37" t="s">
        <v>12</v>
      </c>
      <c r="L37" t="s">
        <v>96</v>
      </c>
    </row>
    <row r="38" spans="2:12">
      <c r="B38" s="25" t="s">
        <v>61</v>
      </c>
      <c r="D38" s="8">
        <f>D37+0.1</f>
        <v>26.911754546370567</v>
      </c>
      <c r="E38" s="8">
        <f>D38+F38</f>
        <v>27.411754546370567</v>
      </c>
      <c r="F38" s="1">
        <f>$F$16</f>
        <v>0.5</v>
      </c>
      <c r="G38" t="s">
        <v>12</v>
      </c>
      <c r="L38" t="s">
        <v>99</v>
      </c>
    </row>
    <row r="39" spans="2:12">
      <c r="B39" s="25" t="s">
        <v>62</v>
      </c>
      <c r="C39" s="11">
        <f>C32</f>
        <v>2394</v>
      </c>
      <c r="D39" s="8">
        <f t="shared" ref="D39:D40" si="6">E38</f>
        <v>27.411754546370567</v>
      </c>
      <c r="E39" s="8">
        <f>D39+F39</f>
        <v>27.911754546370567</v>
      </c>
      <c r="F39" s="6">
        <f>$F$25</f>
        <v>0.5</v>
      </c>
      <c r="G39" t="s">
        <v>12</v>
      </c>
      <c r="L39" t="s">
        <v>99</v>
      </c>
    </row>
    <row r="40" spans="2:12">
      <c r="B40" s="25" t="s">
        <v>26</v>
      </c>
      <c r="D40" s="8">
        <f t="shared" si="6"/>
        <v>27.911754546370567</v>
      </c>
      <c r="E40" s="8">
        <f>D40+F40</f>
        <v>29.911754546370567</v>
      </c>
      <c r="F40" s="1">
        <f>$F$11</f>
        <v>2</v>
      </c>
      <c r="G40" t="s">
        <v>13</v>
      </c>
      <c r="I40" t="s">
        <v>99</v>
      </c>
      <c r="J40" s="23"/>
    </row>
    <row r="41" spans="2:12">
      <c r="D41" s="8"/>
      <c r="E41" s="8"/>
      <c r="F41" s="6"/>
    </row>
    <row r="42" spans="2:12" ht="26">
      <c r="B42" s="25" t="s">
        <v>30</v>
      </c>
      <c r="D42" s="8">
        <f>E40</f>
        <v>29.911754546370567</v>
      </c>
      <c r="E42" s="8">
        <f>D42+F42</f>
        <v>36.911754546370567</v>
      </c>
      <c r="F42" s="7">
        <v>7</v>
      </c>
      <c r="G42" t="s">
        <v>104</v>
      </c>
      <c r="H42" s="25" t="s">
        <v>107</v>
      </c>
      <c r="J42" t="s">
        <v>99</v>
      </c>
    </row>
    <row r="43" spans="2:12">
      <c r="B43" s="25" t="s">
        <v>32</v>
      </c>
      <c r="D43" s="8">
        <f>E42</f>
        <v>36.911754546370567</v>
      </c>
      <c r="E43" s="8">
        <f>D43+F43</f>
        <v>37.411754546370567</v>
      </c>
      <c r="F43" s="6">
        <f>$F$14</f>
        <v>0.5</v>
      </c>
      <c r="G43" t="s">
        <v>12</v>
      </c>
      <c r="K43" t="s">
        <v>99</v>
      </c>
    </row>
    <row r="44" spans="2:12">
      <c r="B44" s="25" t="s">
        <v>31</v>
      </c>
      <c r="D44" s="8">
        <f>D43+0.1</f>
        <v>37.011754546370568</v>
      </c>
      <c r="E44" s="8">
        <f>MAX(D44+F44,E43+0.1)</f>
        <v>37.511754546370568</v>
      </c>
      <c r="F44" s="1">
        <f>$F$15</f>
        <v>0.5</v>
      </c>
      <c r="G44" t="s">
        <v>12</v>
      </c>
      <c r="L44" t="s">
        <v>96</v>
      </c>
    </row>
    <row r="45" spans="2:12">
      <c r="B45" s="25" t="s">
        <v>61</v>
      </c>
      <c r="D45" s="8">
        <f>D44+0.1</f>
        <v>37.11175454637057</v>
      </c>
      <c r="E45" s="8">
        <f>D45+F45</f>
        <v>37.61175454637057</v>
      </c>
      <c r="F45" s="1">
        <f>$F$16</f>
        <v>0.5</v>
      </c>
      <c r="G45" t="s">
        <v>12</v>
      </c>
      <c r="L45" t="s">
        <v>99</v>
      </c>
    </row>
    <row r="46" spans="2:12">
      <c r="B46" s="25" t="s">
        <v>62</v>
      </c>
      <c r="C46" s="11">
        <f>C39</f>
        <v>2394</v>
      </c>
      <c r="D46" s="8">
        <f t="shared" ref="D46:D47" si="7">E45</f>
        <v>37.61175454637057</v>
      </c>
      <c r="E46" s="8">
        <f>D46+F46</f>
        <v>38.11175454637057</v>
      </c>
      <c r="F46" s="6">
        <f>$F$25</f>
        <v>0.5</v>
      </c>
      <c r="G46" t="s">
        <v>12</v>
      </c>
      <c r="L46" t="s">
        <v>99</v>
      </c>
    </row>
    <row r="47" spans="2:12">
      <c r="B47" s="25" t="s">
        <v>25</v>
      </c>
      <c r="D47" s="8">
        <f t="shared" si="7"/>
        <v>38.11175454637057</v>
      </c>
      <c r="E47" s="8">
        <f>D47+F47</f>
        <v>40.11175454637057</v>
      </c>
      <c r="F47" s="1">
        <f>$F$11</f>
        <v>2</v>
      </c>
      <c r="G47" t="s">
        <v>13</v>
      </c>
      <c r="I47" t="s">
        <v>99</v>
      </c>
      <c r="J47" s="23"/>
    </row>
    <row r="48" spans="2:12">
      <c r="D48" s="8"/>
      <c r="E48" s="8"/>
      <c r="F48" s="6"/>
    </row>
    <row r="49" spans="2:12">
      <c r="B49" s="25" t="s">
        <v>30</v>
      </c>
      <c r="D49" s="8">
        <f>E47</f>
        <v>40.11175454637057</v>
      </c>
      <c r="E49" s="8">
        <f>D49+F49</f>
        <v>47.11175454637057</v>
      </c>
      <c r="F49" s="6">
        <f>$F$42</f>
        <v>7</v>
      </c>
      <c r="G49" t="s">
        <v>106</v>
      </c>
      <c r="J49" t="s">
        <v>99</v>
      </c>
    </row>
    <row r="50" spans="2:12">
      <c r="B50" s="25" t="s">
        <v>32</v>
      </c>
      <c r="D50" s="8">
        <f>E49</f>
        <v>47.11175454637057</v>
      </c>
      <c r="E50" s="8">
        <f>D50+F50</f>
        <v>47.61175454637057</v>
      </c>
      <c r="F50" s="6">
        <f>$F$14</f>
        <v>0.5</v>
      </c>
      <c r="G50" t="s">
        <v>12</v>
      </c>
      <c r="K50" t="s">
        <v>99</v>
      </c>
    </row>
    <row r="51" spans="2:12">
      <c r="B51" s="25" t="s">
        <v>31</v>
      </c>
      <c r="D51" s="8">
        <f>D50+0.1</f>
        <v>47.211754546370571</v>
      </c>
      <c r="E51" s="8">
        <f>MAX(D51+F51,E50+0.1)</f>
        <v>47.711754546370571</v>
      </c>
      <c r="F51" s="1">
        <f>$F$15</f>
        <v>0.5</v>
      </c>
      <c r="G51" t="s">
        <v>12</v>
      </c>
      <c r="L51" t="s">
        <v>96</v>
      </c>
    </row>
    <row r="52" spans="2:12">
      <c r="B52" s="25" t="s">
        <v>61</v>
      </c>
      <c r="D52" s="8">
        <f>D51+0.1</f>
        <v>47.311754546370572</v>
      </c>
      <c r="E52" s="8">
        <f>D52+F52</f>
        <v>47.811754546370572</v>
      </c>
      <c r="F52" s="1">
        <f>$F$16</f>
        <v>0.5</v>
      </c>
      <c r="G52" t="s">
        <v>12</v>
      </c>
      <c r="L52" t="s">
        <v>99</v>
      </c>
    </row>
    <row r="53" spans="2:12">
      <c r="B53" s="25" t="s">
        <v>62</v>
      </c>
      <c r="C53" s="11">
        <f>ROUND(0.1*C46,0)</f>
        <v>239</v>
      </c>
      <c r="D53" s="8">
        <f t="shared" ref="D53:D54" si="8">E52</f>
        <v>47.811754546370572</v>
      </c>
      <c r="E53" s="8">
        <f>D53+F53</f>
        <v>48.311754546370572</v>
      </c>
      <c r="F53" s="6">
        <f>$F$25</f>
        <v>0.5</v>
      </c>
      <c r="G53" t="s">
        <v>12</v>
      </c>
      <c r="L53" t="s">
        <v>99</v>
      </c>
    </row>
    <row r="54" spans="2:12">
      <c r="B54" s="25" t="s">
        <v>28</v>
      </c>
      <c r="D54" s="8">
        <f t="shared" si="8"/>
        <v>48.311754546370572</v>
      </c>
      <c r="E54" s="8">
        <f>D54+F54</f>
        <v>50.311754546370572</v>
      </c>
      <c r="F54" s="1">
        <f>$F$11</f>
        <v>2</v>
      </c>
      <c r="G54" t="s">
        <v>13</v>
      </c>
      <c r="I54" t="s">
        <v>99</v>
      </c>
      <c r="J54" s="23"/>
    </row>
    <row r="55" spans="2:12">
      <c r="D55" s="8"/>
      <c r="E55" s="8"/>
      <c r="F55" s="6"/>
    </row>
    <row r="56" spans="2:12">
      <c r="B56" s="25" t="s">
        <v>30</v>
      </c>
      <c r="D56" s="8">
        <f>E54</f>
        <v>50.311754546370572</v>
      </c>
      <c r="E56" s="8">
        <f>D56+F56</f>
        <v>57.311754546370572</v>
      </c>
      <c r="F56" s="6">
        <f>$F$49</f>
        <v>7</v>
      </c>
      <c r="G56" t="s">
        <v>12</v>
      </c>
      <c r="J56" t="s">
        <v>99</v>
      </c>
    </row>
    <row r="57" spans="2:12">
      <c r="B57" s="25" t="s">
        <v>32</v>
      </c>
      <c r="D57" s="8">
        <f>E56</f>
        <v>57.311754546370572</v>
      </c>
      <c r="E57" s="8">
        <f>D57+F57</f>
        <v>57.811754546370572</v>
      </c>
      <c r="F57" s="6">
        <f>$F$14</f>
        <v>0.5</v>
      </c>
      <c r="G57" t="s">
        <v>12</v>
      </c>
      <c r="K57" t="s">
        <v>99</v>
      </c>
    </row>
    <row r="58" spans="2:12">
      <c r="B58" s="25" t="s">
        <v>31</v>
      </c>
      <c r="D58" s="8">
        <f>D57+0.1</f>
        <v>57.411754546370574</v>
      </c>
      <c r="E58" s="8">
        <f>MAX(D58+F58,E57+0.1)</f>
        <v>57.911754546370574</v>
      </c>
      <c r="F58" s="1">
        <f>$F$15</f>
        <v>0.5</v>
      </c>
      <c r="G58" t="s">
        <v>12</v>
      </c>
      <c r="L58" t="s">
        <v>96</v>
      </c>
    </row>
    <row r="59" spans="2:12">
      <c r="B59" s="25" t="s">
        <v>61</v>
      </c>
      <c r="D59" s="8">
        <f>D58+0.1</f>
        <v>57.511754546370575</v>
      </c>
      <c r="E59" s="8">
        <f>D59+F59</f>
        <v>58.011754546370575</v>
      </c>
      <c r="F59" s="1">
        <f>$F$16</f>
        <v>0.5</v>
      </c>
      <c r="G59" t="s">
        <v>12</v>
      </c>
      <c r="L59" t="s">
        <v>99</v>
      </c>
    </row>
    <row r="60" spans="2:12">
      <c r="B60" s="25" t="s">
        <v>62</v>
      </c>
      <c r="C60" s="11">
        <f>ROUND(0.1*C53,0)</f>
        <v>24</v>
      </c>
      <c r="D60" s="8">
        <f t="shared" ref="D60:D61" si="9">E59</f>
        <v>58.011754546370575</v>
      </c>
      <c r="E60" s="8">
        <f>D60+F60</f>
        <v>58.511754546370575</v>
      </c>
      <c r="F60" s="6">
        <f>$F$25</f>
        <v>0.5</v>
      </c>
      <c r="G60" t="s">
        <v>12</v>
      </c>
      <c r="L60" t="s">
        <v>99</v>
      </c>
    </row>
    <row r="61" spans="2:12">
      <c r="B61" s="25" t="s">
        <v>29</v>
      </c>
      <c r="D61" s="8">
        <f t="shared" si="9"/>
        <v>58.511754546370575</v>
      </c>
      <c r="E61" s="8">
        <f>D61+F61</f>
        <v>60.511754546370575</v>
      </c>
      <c r="F61" s="1">
        <f>$F$11</f>
        <v>2</v>
      </c>
      <c r="G61" t="s">
        <v>13</v>
      </c>
      <c r="I61" t="s">
        <v>99</v>
      </c>
      <c r="J61" s="23"/>
    </row>
    <row r="62" spans="2:12">
      <c r="D62" s="8"/>
      <c r="E62" s="8"/>
      <c r="F62" s="6"/>
    </row>
    <row r="63" spans="2:12">
      <c r="B63" s="25" t="s">
        <v>30</v>
      </c>
      <c r="D63" s="8">
        <f>E61</f>
        <v>60.511754546370575</v>
      </c>
      <c r="E63" s="8">
        <f>D63+F63</f>
        <v>67.511754546370582</v>
      </c>
      <c r="F63" s="6">
        <f>$F$49</f>
        <v>7</v>
      </c>
      <c r="G63" t="s">
        <v>12</v>
      </c>
      <c r="J63" t="s">
        <v>99</v>
      </c>
    </row>
    <row r="64" spans="2:12">
      <c r="B64" s="25" t="s">
        <v>32</v>
      </c>
      <c r="D64" s="8">
        <f>E63</f>
        <v>67.511754546370582</v>
      </c>
      <c r="E64" s="8">
        <f>D64+F64</f>
        <v>68.011754546370582</v>
      </c>
      <c r="F64" s="6">
        <f>$F$14</f>
        <v>0.5</v>
      </c>
      <c r="G64" t="s">
        <v>12</v>
      </c>
      <c r="K64" t="s">
        <v>99</v>
      </c>
    </row>
    <row r="65" spans="2:12">
      <c r="B65" s="25" t="s">
        <v>31</v>
      </c>
      <c r="D65" s="8">
        <f>D64+0.1</f>
        <v>67.611754546370577</v>
      </c>
      <c r="E65" s="8">
        <f>MAX(D65+F65,E64+0.1)</f>
        <v>68.111754546370577</v>
      </c>
      <c r="F65" s="1">
        <f>$F$15</f>
        <v>0.5</v>
      </c>
      <c r="G65" t="s">
        <v>12</v>
      </c>
      <c r="L65" t="s">
        <v>96</v>
      </c>
    </row>
    <row r="66" spans="2:12">
      <c r="B66" s="25" t="s">
        <v>61</v>
      </c>
      <c r="D66" s="8">
        <f>D65+0.1</f>
        <v>67.711754546370571</v>
      </c>
      <c r="E66" s="8">
        <f>D66+F66</f>
        <v>68.211754546370571</v>
      </c>
      <c r="F66" s="1">
        <f>$F$16</f>
        <v>0.5</v>
      </c>
      <c r="G66" t="s">
        <v>12</v>
      </c>
      <c r="L66" t="s">
        <v>99</v>
      </c>
    </row>
    <row r="67" spans="2:12">
      <c r="B67" s="25" t="s">
        <v>62</v>
      </c>
      <c r="C67" s="11">
        <f>ROUND(0.1*C60,0)</f>
        <v>2</v>
      </c>
      <c r="D67" s="8">
        <f t="shared" ref="D67:D68" si="10">E66</f>
        <v>68.211754546370571</v>
      </c>
      <c r="E67" s="8">
        <f>D67+F67</f>
        <v>68.711754546370571</v>
      </c>
      <c r="F67" s="6">
        <f>$F$25</f>
        <v>0.5</v>
      </c>
      <c r="G67" t="s">
        <v>12</v>
      </c>
      <c r="L67" t="s">
        <v>99</v>
      </c>
    </row>
    <row r="68" spans="2:12">
      <c r="B68" s="25" t="s">
        <v>53</v>
      </c>
      <c r="D68" s="8">
        <f t="shared" si="10"/>
        <v>68.711754546370571</v>
      </c>
      <c r="E68" s="8">
        <f>D68+F68</f>
        <v>70.711754546370571</v>
      </c>
      <c r="F68" s="1">
        <f>$F$11</f>
        <v>2</v>
      </c>
      <c r="G68" t="s">
        <v>13</v>
      </c>
      <c r="I68" t="s">
        <v>99</v>
      </c>
      <c r="J68" s="23"/>
    </row>
    <row r="69" spans="2:12">
      <c r="D69" s="8"/>
      <c r="E69" s="8"/>
      <c r="F69" s="6"/>
    </row>
    <row r="70" spans="2:12">
      <c r="B70" s="25" t="s">
        <v>30</v>
      </c>
      <c r="D70" s="8">
        <f>E68</f>
        <v>70.711754546370571</v>
      </c>
      <c r="E70" s="8">
        <f>D70+F70</f>
        <v>77.711754546370571</v>
      </c>
      <c r="F70" s="6">
        <f>$F$49</f>
        <v>7</v>
      </c>
      <c r="G70" t="s">
        <v>12</v>
      </c>
      <c r="J70" t="s">
        <v>99</v>
      </c>
    </row>
    <row r="71" spans="2:12">
      <c r="B71" s="25" t="s">
        <v>32</v>
      </c>
      <c r="D71" s="8">
        <f>E70</f>
        <v>77.711754546370571</v>
      </c>
      <c r="E71" s="8">
        <f>D71+F71</f>
        <v>78.211754546370571</v>
      </c>
      <c r="F71" s="6">
        <f>$F$14</f>
        <v>0.5</v>
      </c>
      <c r="G71" t="s">
        <v>12</v>
      </c>
      <c r="K71" t="s">
        <v>99</v>
      </c>
    </row>
    <row r="72" spans="2:12">
      <c r="B72" s="25" t="s">
        <v>31</v>
      </c>
      <c r="D72" s="8">
        <f>D71+0.1</f>
        <v>77.811754546370565</v>
      </c>
      <c r="E72" s="8">
        <f>MAX(D72+F72,E71+0.1)</f>
        <v>78.311754546370565</v>
      </c>
      <c r="F72" s="1">
        <f>$F$15</f>
        <v>0.5</v>
      </c>
      <c r="G72" t="s">
        <v>12</v>
      </c>
      <c r="L72" t="s">
        <v>96</v>
      </c>
    </row>
    <row r="73" spans="2:12">
      <c r="B73" s="25" t="s">
        <v>61</v>
      </c>
      <c r="D73" s="8">
        <f>D72+0.1</f>
        <v>77.91175454637056</v>
      </c>
      <c r="E73" s="8">
        <f>D73+F73</f>
        <v>78.41175454637056</v>
      </c>
      <c r="F73" s="1">
        <f>$F$16</f>
        <v>0.5</v>
      </c>
      <c r="G73" t="s">
        <v>12</v>
      </c>
      <c r="L73" t="s">
        <v>99</v>
      </c>
    </row>
    <row r="74" spans="2:12">
      <c r="B74" s="25" t="s">
        <v>62</v>
      </c>
      <c r="C74" s="11">
        <f>ROUND(0.1*C67,0)</f>
        <v>0</v>
      </c>
      <c r="D74" s="8">
        <f t="shared" ref="D74" si="11">E73</f>
        <v>78.41175454637056</v>
      </c>
      <c r="E74" s="8">
        <f>D74+F74</f>
        <v>78.91175454637056</v>
      </c>
      <c r="F74" s="6">
        <f>$F$25</f>
        <v>0.5</v>
      </c>
      <c r="G74" t="s">
        <v>12</v>
      </c>
      <c r="L74" t="s">
        <v>99</v>
      </c>
    </row>
    <row r="75" spans="2:12">
      <c r="B75" s="25" t="s">
        <v>33</v>
      </c>
      <c r="D75" s="8">
        <f>E74</f>
        <v>78.91175454637056</v>
      </c>
      <c r="E75" s="8">
        <f>D75+F75</f>
        <v>79.41175454637056</v>
      </c>
      <c r="F75" s="7">
        <v>0.5</v>
      </c>
      <c r="J75" s="23"/>
      <c r="L75" t="s">
        <v>99</v>
      </c>
    </row>
    <row r="76" spans="2:12" ht="27">
      <c r="B76" s="32" t="s">
        <v>65</v>
      </c>
      <c r="C76" s="11">
        <f>C74</f>
        <v>0</v>
      </c>
      <c r="D76" s="8"/>
      <c r="E76" s="10">
        <f>E75</f>
        <v>79.41175454637056</v>
      </c>
      <c r="F76" s="6"/>
      <c r="H76" s="26" t="s">
        <v>51</v>
      </c>
    </row>
    <row r="77" spans="2:12" ht="18">
      <c r="B77" s="30" t="s">
        <v>14</v>
      </c>
      <c r="D77" s="15">
        <f>MAX(E76,E7,E5)</f>
        <v>79.41175454637056</v>
      </c>
      <c r="E77" s="8"/>
      <c r="F77" s="6"/>
    </row>
    <row r="78" spans="2:12">
      <c r="E78" s="8"/>
    </row>
    <row r="79" spans="2:12" ht="18">
      <c r="B79" s="33" t="s">
        <v>69</v>
      </c>
      <c r="D79" s="19"/>
      <c r="E79" s="19"/>
      <c r="F79" s="17"/>
      <c r="G79" s="18"/>
      <c r="H79" s="27"/>
    </row>
    <row r="80" spans="2:12" ht="18">
      <c r="B80" s="34" t="s">
        <v>35</v>
      </c>
      <c r="D80" s="19"/>
      <c r="E80" s="19"/>
      <c r="F80" s="19">
        <f>F4</f>
        <v>1.5</v>
      </c>
      <c r="G80" s="22" t="s">
        <v>43</v>
      </c>
      <c r="H80" s="27"/>
    </row>
    <row r="81" spans="2:8" ht="18">
      <c r="B81" s="34" t="s">
        <v>36</v>
      </c>
      <c r="D81" s="19"/>
      <c r="E81" s="19"/>
      <c r="F81" s="19">
        <f>F19+F26+F33+F40+F47+F54+F61+F68</f>
        <v>16</v>
      </c>
      <c r="G81" s="18"/>
      <c r="H81" s="27"/>
    </row>
    <row r="82" spans="2:8" ht="18">
      <c r="B82" s="34" t="s">
        <v>37</v>
      </c>
      <c r="D82" s="19"/>
      <c r="E82" s="19"/>
      <c r="F82" s="19">
        <f>F70+F63+F56+F49+F42+F35+F28+F21</f>
        <v>38.1</v>
      </c>
      <c r="G82" s="18"/>
      <c r="H82" s="27"/>
    </row>
    <row r="83" spans="2:8" ht="18">
      <c r="B83" s="34" t="s">
        <v>38</v>
      </c>
      <c r="D83" s="19"/>
      <c r="E83" s="19"/>
      <c r="F83" s="19">
        <f>F14*10</f>
        <v>5</v>
      </c>
      <c r="G83" s="18"/>
      <c r="H83" s="27"/>
    </row>
    <row r="84" spans="2:8" ht="18">
      <c r="B84" s="34" t="s">
        <v>39</v>
      </c>
      <c r="D84" s="19"/>
      <c r="E84" s="19"/>
      <c r="F84" s="19">
        <f>(D16-D14)*10</f>
        <v>1.9999999999999929</v>
      </c>
      <c r="G84" s="22" t="s">
        <v>42</v>
      </c>
      <c r="H84" s="27"/>
    </row>
    <row r="85" spans="2:8" ht="36">
      <c r="B85" s="34" t="s">
        <v>40</v>
      </c>
      <c r="D85" s="20"/>
      <c r="E85" s="19"/>
      <c r="F85" s="19">
        <f>E76-F81-F82-F83-F84-F80</f>
        <v>16.811754546370565</v>
      </c>
      <c r="G85" s="18"/>
      <c r="H85" s="27"/>
    </row>
    <row r="86" spans="2:8" ht="19" thickBot="1">
      <c r="B86" s="35"/>
      <c r="D86" s="19"/>
      <c r="E86" s="19"/>
      <c r="F86" s="21">
        <f>SUM(F80:F85)</f>
        <v>79.41175454637056</v>
      </c>
      <c r="G86" s="18" t="s">
        <v>41</v>
      </c>
      <c r="H86" s="27"/>
    </row>
    <row r="87" spans="2:8" ht="14" thickTop="1">
      <c r="D87" s="8"/>
      <c r="E87" s="8"/>
    </row>
    <row r="88" spans="2:8">
      <c r="D88" s="8"/>
      <c r="E88" s="8"/>
    </row>
    <row r="89" spans="2:8">
      <c r="D89" s="8"/>
      <c r="E89" s="8"/>
    </row>
  </sheetData>
  <phoneticPr fontId="8" type="noConversion"/>
  <pageMargins left="0.75" right="0.75" top="1" bottom="1" header="0.5" footer="0.5"/>
  <extLst>
    <ext xmlns:mx="http://schemas.microsoft.com/office/mac/excel/2008/main" uri="http://schemas.microsoft.com/office/mac/excel/2008/main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/>
  <dimension ref="B1:L89"/>
  <sheetViews>
    <sheetView topLeftCell="B1" workbookViewId="0">
      <selection activeCell="F43" sqref="F43"/>
    </sheetView>
  </sheetViews>
  <sheetFormatPr baseColWidth="10" defaultRowHeight="13"/>
  <cols>
    <col min="2" max="2" width="33" style="25" customWidth="1"/>
    <col min="3" max="3" width="10.7109375" style="11"/>
    <col min="4" max="6" width="10.7109375" style="1"/>
    <col min="7" max="7" width="36.42578125" customWidth="1"/>
    <col min="8" max="8" width="47.5703125" style="25" customWidth="1"/>
  </cols>
  <sheetData>
    <row r="1" spans="2:12">
      <c r="B1" s="28" t="s">
        <v>10</v>
      </c>
    </row>
    <row r="2" spans="2:12" s="2" customFormat="1">
      <c r="B2" s="29">
        <v>39690</v>
      </c>
      <c r="C2" s="3" t="s">
        <v>71</v>
      </c>
      <c r="D2" s="3" t="s">
        <v>20</v>
      </c>
      <c r="E2" s="3" t="s">
        <v>21</v>
      </c>
      <c r="F2" s="3" t="s">
        <v>49</v>
      </c>
      <c r="G2" s="2" t="s">
        <v>22</v>
      </c>
      <c r="H2" s="26" t="s">
        <v>86</v>
      </c>
      <c r="I2" s="2" t="s">
        <v>91</v>
      </c>
      <c r="J2" s="2" t="s">
        <v>92</v>
      </c>
      <c r="K2" s="2" t="s">
        <v>93</v>
      </c>
      <c r="L2" s="2" t="s">
        <v>94</v>
      </c>
    </row>
    <row r="3" spans="2:12">
      <c r="C3" s="3" t="s">
        <v>72</v>
      </c>
      <c r="D3" s="1" t="s">
        <v>50</v>
      </c>
      <c r="E3" s="1" t="s">
        <v>50</v>
      </c>
      <c r="F3" s="1" t="s">
        <v>50</v>
      </c>
    </row>
    <row r="4" spans="2:12" ht="18">
      <c r="B4" s="30" t="s">
        <v>15</v>
      </c>
      <c r="C4" s="11">
        <f>3*14*57</f>
        <v>2394</v>
      </c>
      <c r="D4" s="15">
        <v>0</v>
      </c>
      <c r="E4" s="8">
        <f t="shared" ref="E4:E8" si="0">D4+F4</f>
        <v>1.5</v>
      </c>
      <c r="F4" s="7">
        <v>1.5</v>
      </c>
      <c r="G4" t="s">
        <v>19</v>
      </c>
    </row>
    <row r="5" spans="2:12" ht="18">
      <c r="B5" s="31" t="s">
        <v>67</v>
      </c>
      <c r="D5" s="8">
        <f>E4</f>
        <v>1.5</v>
      </c>
      <c r="E5" s="10">
        <f t="shared" si="0"/>
        <v>34.860128000000003</v>
      </c>
      <c r="F5" s="9">
        <f>512*1.05*4096/75000+4</f>
        <v>33.360128000000003</v>
      </c>
      <c r="G5" t="s">
        <v>64</v>
      </c>
      <c r="H5" s="25" t="s">
        <v>52</v>
      </c>
      <c r="K5" t="s">
        <v>95</v>
      </c>
    </row>
    <row r="6" spans="2:12" ht="26">
      <c r="B6" s="25" t="s">
        <v>58</v>
      </c>
      <c r="D6" s="8">
        <f>E4</f>
        <v>1.5</v>
      </c>
      <c r="E6" s="8">
        <f t="shared" si="0"/>
        <v>8.31175454637056</v>
      </c>
      <c r="F6" s="12">
        <f>2*SQRT(1.16/0.1)</f>
        <v>6.81175454637056</v>
      </c>
      <c r="G6" t="s">
        <v>56</v>
      </c>
      <c r="H6" s="25" t="s">
        <v>57</v>
      </c>
    </row>
    <row r="7" spans="2:12" ht="18">
      <c r="B7" s="31" t="s">
        <v>68</v>
      </c>
      <c r="D7" s="8">
        <f>E6</f>
        <v>8.31175454637056</v>
      </c>
      <c r="E7" s="10">
        <f t="shared" si="0"/>
        <v>28.311754546370558</v>
      </c>
      <c r="F7" s="12">
        <v>20</v>
      </c>
      <c r="G7" s="13" t="s">
        <v>16</v>
      </c>
      <c r="H7" s="25" t="s">
        <v>54</v>
      </c>
    </row>
    <row r="8" spans="2:12" ht="26">
      <c r="B8" s="25" t="s">
        <v>24</v>
      </c>
      <c r="D8" s="8">
        <f>D4</f>
        <v>0</v>
      </c>
      <c r="E8" s="8">
        <f t="shared" si="0"/>
        <v>1</v>
      </c>
      <c r="F8" s="12">
        <v>1</v>
      </c>
      <c r="G8" s="13" t="s">
        <v>11</v>
      </c>
      <c r="H8" s="25" t="s">
        <v>45</v>
      </c>
    </row>
    <row r="9" spans="2:12">
      <c r="D9" s="8"/>
      <c r="E9" s="8"/>
      <c r="F9" s="5"/>
    </row>
    <row r="10" spans="2:12">
      <c r="D10" s="8"/>
      <c r="E10" s="8"/>
    </row>
    <row r="11" spans="2:12" ht="26">
      <c r="B11" s="25" t="s">
        <v>90</v>
      </c>
      <c r="D11" s="8">
        <f>E4</f>
        <v>1.5</v>
      </c>
      <c r="E11" s="8">
        <f>D11+F11</f>
        <v>6.5</v>
      </c>
      <c r="F11" s="7">
        <v>5</v>
      </c>
      <c r="G11" t="s">
        <v>48</v>
      </c>
      <c r="H11" s="25" t="s">
        <v>46</v>
      </c>
      <c r="I11" t="s">
        <v>96</v>
      </c>
    </row>
    <row r="12" spans="2:12">
      <c r="B12" s="25" t="s">
        <v>97</v>
      </c>
      <c r="D12" s="8">
        <f>E6</f>
        <v>8.31175454637056</v>
      </c>
      <c r="E12" s="8">
        <f>D12+F12</f>
        <v>13.31175454637056</v>
      </c>
      <c r="F12" s="7">
        <v>5</v>
      </c>
      <c r="I12" t="s">
        <v>99</v>
      </c>
    </row>
    <row r="13" spans="2:12">
      <c r="B13" s="25" t="s">
        <v>30</v>
      </c>
      <c r="D13" s="8">
        <f>E6</f>
        <v>8.31175454637056</v>
      </c>
      <c r="E13" s="8">
        <f>D13+F13</f>
        <v>13.31175454637056</v>
      </c>
      <c r="F13" s="14">
        <f>F12</f>
        <v>5</v>
      </c>
      <c r="H13" s="25" t="s">
        <v>98</v>
      </c>
      <c r="J13" t="s">
        <v>96</v>
      </c>
    </row>
    <row r="14" spans="2:12" ht="26">
      <c r="B14" s="25" t="s">
        <v>32</v>
      </c>
      <c r="D14" s="8">
        <f>E13</f>
        <v>13.31175454637056</v>
      </c>
      <c r="E14" s="8">
        <f t="shared" ref="E14:E17" si="1">D14+F14</f>
        <v>13.81175454637056</v>
      </c>
      <c r="F14" s="7">
        <v>0.5</v>
      </c>
      <c r="G14" t="s">
        <v>44</v>
      </c>
      <c r="H14" s="25" t="s">
        <v>88</v>
      </c>
      <c r="K14" t="s">
        <v>96</v>
      </c>
    </row>
    <row r="15" spans="2:12">
      <c r="B15" s="25" t="s">
        <v>18</v>
      </c>
      <c r="D15" s="8">
        <f>D14+0.1</f>
        <v>13.41175454637056</v>
      </c>
      <c r="E15" s="8">
        <f>MAX(D15+F15,E14+0.1)</f>
        <v>13.91175454637056</v>
      </c>
      <c r="F15" s="7">
        <v>0.5</v>
      </c>
      <c r="G15" s="24" t="s">
        <v>66</v>
      </c>
      <c r="H15" s="25" t="s">
        <v>108</v>
      </c>
      <c r="L15" t="s">
        <v>99</v>
      </c>
    </row>
    <row r="16" spans="2:12" ht="26">
      <c r="B16" s="25" t="s">
        <v>61</v>
      </c>
      <c r="D16" s="8">
        <f>D15+0.1</f>
        <v>13.511754546370559</v>
      </c>
      <c r="E16" s="8">
        <f t="shared" si="1"/>
        <v>14.011754546370559</v>
      </c>
      <c r="F16" s="7">
        <v>0.5</v>
      </c>
      <c r="G16" s="25" t="s">
        <v>70</v>
      </c>
      <c r="H16" s="25" t="s">
        <v>109</v>
      </c>
      <c r="L16" t="s">
        <v>99</v>
      </c>
    </row>
    <row r="17" spans="2:12">
      <c r="B17" s="25" t="s">
        <v>47</v>
      </c>
      <c r="D17" s="8">
        <f>E16</f>
        <v>14.011754546370559</v>
      </c>
      <c r="E17" s="8">
        <f t="shared" si="1"/>
        <v>18.011754546370561</v>
      </c>
      <c r="F17" s="7">
        <v>4</v>
      </c>
      <c r="G17" t="s">
        <v>23</v>
      </c>
      <c r="H17" s="25" t="s">
        <v>34</v>
      </c>
      <c r="L17" t="s">
        <v>96</v>
      </c>
    </row>
    <row r="18" spans="2:12">
      <c r="D18" s="8"/>
      <c r="E18" s="8"/>
      <c r="F18" s="5"/>
    </row>
    <row r="19" spans="2:12" ht="26">
      <c r="B19" s="25" t="s">
        <v>63</v>
      </c>
      <c r="D19" s="8">
        <f>MAX(E8,E13)</f>
        <v>13.31175454637056</v>
      </c>
      <c r="E19" s="8">
        <f t="shared" ref="E19" si="2">D19+F19</f>
        <v>18.311754546370558</v>
      </c>
      <c r="F19" s="11">
        <f>F11</f>
        <v>5</v>
      </c>
      <c r="G19" t="s">
        <v>55</v>
      </c>
      <c r="H19" s="25" t="s">
        <v>100</v>
      </c>
      <c r="I19" t="s">
        <v>101</v>
      </c>
    </row>
    <row r="20" spans="2:12">
      <c r="D20" s="8"/>
      <c r="E20" s="8"/>
    </row>
    <row r="21" spans="2:12">
      <c r="B21" s="25" t="s">
        <v>30</v>
      </c>
      <c r="D21" s="8">
        <f>MAX(E19,E14)</f>
        <v>18.311754546370558</v>
      </c>
      <c r="E21" s="8">
        <f t="shared" ref="E21:E75" si="3">D21+F21</f>
        <v>18.41175454637056</v>
      </c>
      <c r="F21" s="7">
        <v>0.1</v>
      </c>
      <c r="G21" t="s">
        <v>89</v>
      </c>
      <c r="J21" t="s">
        <v>99</v>
      </c>
    </row>
    <row r="22" spans="2:12">
      <c r="B22" s="25" t="s">
        <v>32</v>
      </c>
      <c r="D22" s="8">
        <f>E21</f>
        <v>18.41175454637056</v>
      </c>
      <c r="E22" s="8">
        <f t="shared" si="3"/>
        <v>18.91175454637056</v>
      </c>
      <c r="F22" s="1">
        <f>$F$14</f>
        <v>0.5</v>
      </c>
      <c r="G22" t="s">
        <v>12</v>
      </c>
      <c r="K22" t="s">
        <v>99</v>
      </c>
    </row>
    <row r="23" spans="2:12">
      <c r="B23" s="25" t="s">
        <v>31</v>
      </c>
      <c r="D23" s="8">
        <f>D22+0.1</f>
        <v>18.511754546370561</v>
      </c>
      <c r="E23" s="8">
        <f>MAX(D23+F23,E22+0.1)</f>
        <v>19.011754546370561</v>
      </c>
      <c r="F23" s="1">
        <f>$F$15</f>
        <v>0.5</v>
      </c>
      <c r="G23" t="s">
        <v>12</v>
      </c>
      <c r="L23" t="s">
        <v>96</v>
      </c>
    </row>
    <row r="24" spans="2:12">
      <c r="B24" s="25" t="s">
        <v>61</v>
      </c>
      <c r="D24" s="8">
        <f>D23+0.1</f>
        <v>18.611754546370562</v>
      </c>
      <c r="E24" s="8">
        <f t="shared" si="3"/>
        <v>19.111754546370562</v>
      </c>
      <c r="F24" s="1">
        <f>$F$16</f>
        <v>0.5</v>
      </c>
      <c r="G24" t="s">
        <v>12</v>
      </c>
      <c r="L24" t="s">
        <v>102</v>
      </c>
    </row>
    <row r="25" spans="2:12">
      <c r="B25" s="25" t="s">
        <v>85</v>
      </c>
      <c r="C25" s="11">
        <f>C4</f>
        <v>2394</v>
      </c>
      <c r="D25" s="8">
        <f>MAX(E24,E17)</f>
        <v>19.111754546370562</v>
      </c>
      <c r="E25" s="8">
        <f t="shared" si="3"/>
        <v>19.611754546370562</v>
      </c>
      <c r="F25" s="7">
        <v>0.5</v>
      </c>
      <c r="G25" t="s">
        <v>23</v>
      </c>
      <c r="H25" s="25" t="s">
        <v>87</v>
      </c>
      <c r="L25" t="s">
        <v>103</v>
      </c>
    </row>
    <row r="26" spans="2:12">
      <c r="B26" s="25" t="s">
        <v>27</v>
      </c>
      <c r="D26" s="8">
        <f t="shared" ref="D26" si="4">E25</f>
        <v>19.611754546370562</v>
      </c>
      <c r="E26" s="8">
        <f t="shared" si="3"/>
        <v>22.111754546370562</v>
      </c>
      <c r="F26" s="1">
        <f>MAX(F19/2,0.5)</f>
        <v>2.5</v>
      </c>
      <c r="G26" t="s">
        <v>13</v>
      </c>
      <c r="I26" t="s">
        <v>103</v>
      </c>
      <c r="J26" s="23"/>
    </row>
    <row r="27" spans="2:12">
      <c r="D27" s="8"/>
      <c r="E27" s="8"/>
    </row>
    <row r="28" spans="2:12">
      <c r="B28" s="25" t="s">
        <v>30</v>
      </c>
      <c r="D28" s="8">
        <f>E26</f>
        <v>22.111754546370562</v>
      </c>
      <c r="E28" s="8">
        <f t="shared" si="3"/>
        <v>22.611754546370562</v>
      </c>
      <c r="F28" s="6">
        <f>5*F21</f>
        <v>0.5</v>
      </c>
      <c r="G28" t="s">
        <v>105</v>
      </c>
      <c r="J28" t="s">
        <v>99</v>
      </c>
    </row>
    <row r="29" spans="2:12">
      <c r="B29" s="25" t="s">
        <v>32</v>
      </c>
      <c r="D29" s="8">
        <f>E28</f>
        <v>22.611754546370562</v>
      </c>
      <c r="E29" s="8">
        <f t="shared" si="3"/>
        <v>23.111754546370562</v>
      </c>
      <c r="F29" s="6">
        <f>$F$14</f>
        <v>0.5</v>
      </c>
      <c r="G29" t="s">
        <v>12</v>
      </c>
      <c r="K29" t="s">
        <v>99</v>
      </c>
    </row>
    <row r="30" spans="2:12">
      <c r="B30" s="25" t="s">
        <v>31</v>
      </c>
      <c r="D30" s="8">
        <f>D29+0.1</f>
        <v>22.711754546370564</v>
      </c>
      <c r="E30" s="8">
        <f>MAX(D30+F30,E29+0.1)</f>
        <v>23.211754546370564</v>
      </c>
      <c r="F30" s="1">
        <f>$F$15</f>
        <v>0.5</v>
      </c>
      <c r="G30" t="s">
        <v>12</v>
      </c>
      <c r="L30" t="s">
        <v>96</v>
      </c>
    </row>
    <row r="31" spans="2:12">
      <c r="B31" s="25" t="s">
        <v>61</v>
      </c>
      <c r="D31" s="8">
        <f>D30+0.1</f>
        <v>22.811754546370565</v>
      </c>
      <c r="E31" s="8">
        <f t="shared" si="3"/>
        <v>23.311754546370565</v>
      </c>
      <c r="F31" s="1">
        <f>$F$16</f>
        <v>0.5</v>
      </c>
      <c r="G31" t="s">
        <v>12</v>
      </c>
      <c r="L31" t="s">
        <v>102</v>
      </c>
    </row>
    <row r="32" spans="2:12">
      <c r="B32" s="25" t="s">
        <v>62</v>
      </c>
      <c r="C32" s="11">
        <f>C25</f>
        <v>2394</v>
      </c>
      <c r="D32" s="8">
        <f t="shared" ref="D32:D33" si="5">E31</f>
        <v>23.311754546370565</v>
      </c>
      <c r="E32" s="8">
        <f t="shared" si="3"/>
        <v>23.811754546370565</v>
      </c>
      <c r="F32" s="6">
        <f>$F$25</f>
        <v>0.5</v>
      </c>
      <c r="G32" t="s">
        <v>12</v>
      </c>
      <c r="L32" t="s">
        <v>103</v>
      </c>
    </row>
    <row r="33" spans="2:12">
      <c r="B33" s="25" t="s">
        <v>17</v>
      </c>
      <c r="D33" s="8">
        <f t="shared" si="5"/>
        <v>23.811754546370565</v>
      </c>
      <c r="E33" s="8">
        <f t="shared" si="3"/>
        <v>25.061754546370565</v>
      </c>
      <c r="F33" s="6">
        <f>MAX(F26/2,0.5)</f>
        <v>1.25</v>
      </c>
      <c r="G33" t="s">
        <v>13</v>
      </c>
      <c r="I33" t="s">
        <v>103</v>
      </c>
      <c r="J33" s="23"/>
    </row>
    <row r="34" spans="2:12">
      <c r="D34" s="8"/>
      <c r="E34" s="8"/>
      <c r="F34" s="6"/>
    </row>
    <row r="35" spans="2:12">
      <c r="B35" s="25" t="s">
        <v>30</v>
      </c>
      <c r="D35" s="8">
        <f>E33</f>
        <v>25.061754546370565</v>
      </c>
      <c r="E35" s="8">
        <f t="shared" si="3"/>
        <v>27.561754546370565</v>
      </c>
      <c r="F35" s="6">
        <f>5*F28</f>
        <v>2.5</v>
      </c>
      <c r="G35" t="s">
        <v>105</v>
      </c>
      <c r="J35" t="s">
        <v>99</v>
      </c>
    </row>
    <row r="36" spans="2:12">
      <c r="B36" s="25" t="s">
        <v>32</v>
      </c>
      <c r="D36" s="8">
        <f>E35</f>
        <v>27.561754546370565</v>
      </c>
      <c r="E36" s="8">
        <f t="shared" si="3"/>
        <v>28.061754546370565</v>
      </c>
      <c r="F36" s="6">
        <f>$F$14</f>
        <v>0.5</v>
      </c>
      <c r="G36" t="s">
        <v>12</v>
      </c>
      <c r="K36" t="s">
        <v>99</v>
      </c>
    </row>
    <row r="37" spans="2:12">
      <c r="B37" s="25" t="s">
        <v>31</v>
      </c>
      <c r="D37" s="8">
        <f>D36+0.1</f>
        <v>27.661754546370567</v>
      </c>
      <c r="E37" s="8">
        <f>MAX(D37+F37,E36+0.1)</f>
        <v>28.161754546370567</v>
      </c>
      <c r="F37" s="1">
        <f>$F$15</f>
        <v>0.5</v>
      </c>
      <c r="G37" t="s">
        <v>12</v>
      </c>
      <c r="L37" t="s">
        <v>96</v>
      </c>
    </row>
    <row r="38" spans="2:12">
      <c r="B38" s="25" t="s">
        <v>61</v>
      </c>
      <c r="D38" s="8">
        <f>D37+0.1</f>
        <v>27.761754546370568</v>
      </c>
      <c r="E38" s="8">
        <f t="shared" si="3"/>
        <v>28.261754546370568</v>
      </c>
      <c r="F38" s="1">
        <f>$F$16</f>
        <v>0.5</v>
      </c>
      <c r="G38" t="s">
        <v>12</v>
      </c>
      <c r="L38" t="s">
        <v>102</v>
      </c>
    </row>
    <row r="39" spans="2:12">
      <c r="B39" s="25" t="s">
        <v>62</v>
      </c>
      <c r="C39" s="11">
        <f>C32</f>
        <v>2394</v>
      </c>
      <c r="D39" s="8">
        <f t="shared" ref="D39:D40" si="6">E38</f>
        <v>28.261754546370568</v>
      </c>
      <c r="E39" s="8">
        <f t="shared" si="3"/>
        <v>28.761754546370568</v>
      </c>
      <c r="F39" s="6">
        <f>$F$25</f>
        <v>0.5</v>
      </c>
      <c r="G39" t="s">
        <v>12</v>
      </c>
      <c r="L39" t="s">
        <v>103</v>
      </c>
    </row>
    <row r="40" spans="2:12">
      <c r="B40" s="25" t="s">
        <v>26</v>
      </c>
      <c r="D40" s="8">
        <f t="shared" si="6"/>
        <v>28.761754546370568</v>
      </c>
      <c r="E40" s="8">
        <f t="shared" si="3"/>
        <v>29.386754546370568</v>
      </c>
      <c r="F40" s="6">
        <f>MAX(F33/2,0.5)</f>
        <v>0.625</v>
      </c>
      <c r="G40" t="s">
        <v>13</v>
      </c>
      <c r="I40" t="s">
        <v>103</v>
      </c>
      <c r="J40" s="23"/>
    </row>
    <row r="41" spans="2:12">
      <c r="D41" s="8"/>
      <c r="E41" s="8"/>
      <c r="F41" s="6"/>
    </row>
    <row r="42" spans="2:12" ht="26">
      <c r="B42" s="25" t="s">
        <v>30</v>
      </c>
      <c r="D42" s="8">
        <f>E40</f>
        <v>29.386754546370568</v>
      </c>
      <c r="E42" s="8">
        <f t="shared" si="3"/>
        <v>39.386754546370568</v>
      </c>
      <c r="F42" s="7">
        <v>10</v>
      </c>
      <c r="G42" t="s">
        <v>104</v>
      </c>
      <c r="H42" s="25" t="s">
        <v>107</v>
      </c>
      <c r="J42" t="s">
        <v>99</v>
      </c>
    </row>
    <row r="43" spans="2:12">
      <c r="B43" s="25" t="s">
        <v>32</v>
      </c>
      <c r="D43" s="8">
        <f>E42</f>
        <v>39.386754546370568</v>
      </c>
      <c r="E43" s="8">
        <f t="shared" si="3"/>
        <v>39.886754546370568</v>
      </c>
      <c r="F43" s="6">
        <f>$F$14</f>
        <v>0.5</v>
      </c>
      <c r="G43" t="s">
        <v>12</v>
      </c>
      <c r="K43" t="s">
        <v>99</v>
      </c>
    </row>
    <row r="44" spans="2:12">
      <c r="B44" s="25" t="s">
        <v>31</v>
      </c>
      <c r="D44" s="8">
        <f>D43+0.1</f>
        <v>39.48675454637057</v>
      </c>
      <c r="E44" s="8">
        <f>MAX(D44+F44,E43+0.1)</f>
        <v>39.98675454637057</v>
      </c>
      <c r="F44" s="1">
        <f>$F$15</f>
        <v>0.5</v>
      </c>
      <c r="G44" t="s">
        <v>12</v>
      </c>
      <c r="L44" t="s">
        <v>96</v>
      </c>
    </row>
    <row r="45" spans="2:12">
      <c r="B45" s="25" t="s">
        <v>61</v>
      </c>
      <c r="D45" s="8">
        <f>D44+0.1</f>
        <v>39.586754546370571</v>
      </c>
      <c r="E45" s="8">
        <f t="shared" si="3"/>
        <v>40.086754546370571</v>
      </c>
      <c r="F45" s="1">
        <f>$F$16</f>
        <v>0.5</v>
      </c>
      <c r="G45" t="s">
        <v>12</v>
      </c>
      <c r="L45" t="s">
        <v>102</v>
      </c>
    </row>
    <row r="46" spans="2:12">
      <c r="B46" s="25" t="s">
        <v>62</v>
      </c>
      <c r="C46" s="11">
        <f>C39</f>
        <v>2394</v>
      </c>
      <c r="D46" s="8">
        <f t="shared" ref="D46:D47" si="7">E45</f>
        <v>40.086754546370571</v>
      </c>
      <c r="E46" s="8">
        <f t="shared" si="3"/>
        <v>40.586754546370571</v>
      </c>
      <c r="F46" s="6">
        <f>$F$25</f>
        <v>0.5</v>
      </c>
      <c r="G46" t="s">
        <v>12</v>
      </c>
      <c r="L46" t="s">
        <v>103</v>
      </c>
    </row>
    <row r="47" spans="2:12">
      <c r="B47" s="25" t="s">
        <v>25</v>
      </c>
      <c r="D47" s="8">
        <f t="shared" si="7"/>
        <v>40.586754546370571</v>
      </c>
      <c r="E47" s="8">
        <f t="shared" si="3"/>
        <v>41.086754546370571</v>
      </c>
      <c r="F47" s="6">
        <f>MAX(F40/2,0.5)</f>
        <v>0.5</v>
      </c>
      <c r="G47" t="s">
        <v>13</v>
      </c>
      <c r="I47" t="s">
        <v>103</v>
      </c>
      <c r="J47" s="23"/>
    </row>
    <row r="48" spans="2:12">
      <c r="D48" s="8"/>
      <c r="E48" s="8"/>
      <c r="F48" s="6"/>
    </row>
    <row r="49" spans="2:12">
      <c r="B49" s="25" t="s">
        <v>30</v>
      </c>
      <c r="D49" s="8">
        <f>E47</f>
        <v>41.086754546370571</v>
      </c>
      <c r="E49" s="8">
        <f t="shared" si="3"/>
        <v>51.086754546370571</v>
      </c>
      <c r="F49" s="6">
        <f>$F$42</f>
        <v>10</v>
      </c>
      <c r="G49" t="s">
        <v>106</v>
      </c>
      <c r="J49" t="s">
        <v>99</v>
      </c>
    </row>
    <row r="50" spans="2:12">
      <c r="B50" s="25" t="s">
        <v>32</v>
      </c>
      <c r="D50" s="8">
        <f>E49</f>
        <v>51.086754546370571</v>
      </c>
      <c r="E50" s="8">
        <f t="shared" si="3"/>
        <v>51.586754546370571</v>
      </c>
      <c r="F50" s="6">
        <f>$F$14</f>
        <v>0.5</v>
      </c>
      <c r="G50" t="s">
        <v>12</v>
      </c>
      <c r="K50" t="s">
        <v>99</v>
      </c>
    </row>
    <row r="51" spans="2:12">
      <c r="B51" s="25" t="s">
        <v>31</v>
      </c>
      <c r="D51" s="8">
        <f>D50+0.1</f>
        <v>51.186754546370572</v>
      </c>
      <c r="E51" s="8">
        <f>MAX(D51+F51,E50+0.1)</f>
        <v>51.686754546370572</v>
      </c>
      <c r="F51" s="1">
        <f>$F$15</f>
        <v>0.5</v>
      </c>
      <c r="G51" t="s">
        <v>12</v>
      </c>
      <c r="L51" t="s">
        <v>96</v>
      </c>
    </row>
    <row r="52" spans="2:12">
      <c r="B52" s="25" t="s">
        <v>61</v>
      </c>
      <c r="D52" s="8">
        <f>D51+0.1</f>
        <v>51.286754546370574</v>
      </c>
      <c r="E52" s="8">
        <f t="shared" si="3"/>
        <v>51.786754546370574</v>
      </c>
      <c r="F52" s="1">
        <f>$F$16</f>
        <v>0.5</v>
      </c>
      <c r="G52" t="s">
        <v>12</v>
      </c>
      <c r="L52" t="s">
        <v>102</v>
      </c>
    </row>
    <row r="53" spans="2:12">
      <c r="B53" s="25" t="s">
        <v>62</v>
      </c>
      <c r="C53" s="11">
        <f>ROUND(0.1*C46,0)</f>
        <v>239</v>
      </c>
      <c r="D53" s="8">
        <f t="shared" ref="D53:D54" si="8">E52</f>
        <v>51.786754546370574</v>
      </c>
      <c r="E53" s="8">
        <f t="shared" si="3"/>
        <v>52.286754546370574</v>
      </c>
      <c r="F53" s="6">
        <f>$F$25</f>
        <v>0.5</v>
      </c>
      <c r="G53" t="s">
        <v>12</v>
      </c>
      <c r="L53" t="s">
        <v>103</v>
      </c>
    </row>
    <row r="54" spans="2:12">
      <c r="B54" s="25" t="s">
        <v>28</v>
      </c>
      <c r="D54" s="8">
        <f t="shared" si="8"/>
        <v>52.286754546370574</v>
      </c>
      <c r="E54" s="8">
        <f t="shared" si="3"/>
        <v>52.786754546370574</v>
      </c>
      <c r="F54" s="6">
        <f>MAX(F47/2,0.5)</f>
        <v>0.5</v>
      </c>
      <c r="G54" t="s">
        <v>13</v>
      </c>
      <c r="I54" t="s">
        <v>103</v>
      </c>
      <c r="J54" s="23"/>
    </row>
    <row r="55" spans="2:12">
      <c r="D55" s="8"/>
      <c r="E55" s="8"/>
      <c r="F55" s="6"/>
    </row>
    <row r="56" spans="2:12">
      <c r="B56" s="25" t="s">
        <v>30</v>
      </c>
      <c r="D56" s="8">
        <f>E54</f>
        <v>52.786754546370574</v>
      </c>
      <c r="E56" s="8">
        <f t="shared" si="3"/>
        <v>62.786754546370574</v>
      </c>
      <c r="F56" s="6">
        <f>$F$49</f>
        <v>10</v>
      </c>
      <c r="G56" t="s">
        <v>12</v>
      </c>
      <c r="J56" t="s">
        <v>99</v>
      </c>
    </row>
    <row r="57" spans="2:12">
      <c r="B57" s="25" t="s">
        <v>32</v>
      </c>
      <c r="D57" s="8">
        <f>E56</f>
        <v>62.786754546370574</v>
      </c>
      <c r="E57" s="8">
        <f t="shared" si="3"/>
        <v>63.286754546370574</v>
      </c>
      <c r="F57" s="6">
        <f>$F$14</f>
        <v>0.5</v>
      </c>
      <c r="G57" t="s">
        <v>12</v>
      </c>
      <c r="K57" t="s">
        <v>99</v>
      </c>
    </row>
    <row r="58" spans="2:12">
      <c r="B58" s="25" t="s">
        <v>31</v>
      </c>
      <c r="D58" s="8">
        <f>D57+0.1</f>
        <v>62.886754546370575</v>
      </c>
      <c r="E58" s="8">
        <f>MAX(D58+F58,E57+0.1)</f>
        <v>63.386754546370575</v>
      </c>
      <c r="F58" s="1">
        <f>$F$15</f>
        <v>0.5</v>
      </c>
      <c r="G58" t="s">
        <v>12</v>
      </c>
      <c r="L58" t="s">
        <v>96</v>
      </c>
    </row>
    <row r="59" spans="2:12">
      <c r="B59" s="25" t="s">
        <v>61</v>
      </c>
      <c r="D59" s="8">
        <f>D58+0.1</f>
        <v>62.986754546370577</v>
      </c>
      <c r="E59" s="8">
        <f t="shared" si="3"/>
        <v>63.486754546370577</v>
      </c>
      <c r="F59" s="1">
        <f>$F$16</f>
        <v>0.5</v>
      </c>
      <c r="G59" t="s">
        <v>12</v>
      </c>
      <c r="L59" t="s">
        <v>102</v>
      </c>
    </row>
    <row r="60" spans="2:12">
      <c r="B60" s="25" t="s">
        <v>62</v>
      </c>
      <c r="C60" s="11">
        <f>ROUND(0.1*C53,0)</f>
        <v>24</v>
      </c>
      <c r="D60" s="8">
        <f t="shared" ref="D60:D61" si="9">E59</f>
        <v>63.486754546370577</v>
      </c>
      <c r="E60" s="8">
        <f t="shared" si="3"/>
        <v>63.986754546370577</v>
      </c>
      <c r="F60" s="6">
        <f>$F$25</f>
        <v>0.5</v>
      </c>
      <c r="G60" t="s">
        <v>12</v>
      </c>
      <c r="L60" t="s">
        <v>103</v>
      </c>
    </row>
    <row r="61" spans="2:12">
      <c r="B61" s="25" t="s">
        <v>29</v>
      </c>
      <c r="D61" s="8">
        <f t="shared" si="9"/>
        <v>63.986754546370577</v>
      </c>
      <c r="E61" s="8">
        <f t="shared" si="3"/>
        <v>64.486754546370577</v>
      </c>
      <c r="F61" s="6">
        <f>MAX(F54/2,0.5)</f>
        <v>0.5</v>
      </c>
      <c r="G61" t="s">
        <v>13</v>
      </c>
      <c r="I61" t="s">
        <v>103</v>
      </c>
      <c r="J61" s="23"/>
    </row>
    <row r="62" spans="2:12">
      <c r="D62" s="8"/>
      <c r="E62" s="8"/>
      <c r="F62" s="6"/>
    </row>
    <row r="63" spans="2:12">
      <c r="B63" s="25" t="s">
        <v>30</v>
      </c>
      <c r="D63" s="8">
        <f>E61</f>
        <v>64.486754546370577</v>
      </c>
      <c r="E63" s="8">
        <f t="shared" ref="E63:E64" si="10">D63+F63</f>
        <v>74.486754546370577</v>
      </c>
      <c r="F63" s="6">
        <f>$F$49</f>
        <v>10</v>
      </c>
      <c r="G63" t="s">
        <v>12</v>
      </c>
      <c r="J63" t="s">
        <v>99</v>
      </c>
    </row>
    <row r="64" spans="2:12">
      <c r="B64" s="25" t="s">
        <v>32</v>
      </c>
      <c r="D64" s="8">
        <f>E63</f>
        <v>74.486754546370577</v>
      </c>
      <c r="E64" s="8">
        <f t="shared" si="10"/>
        <v>74.986754546370577</v>
      </c>
      <c r="F64" s="6">
        <f>$F$14</f>
        <v>0.5</v>
      </c>
      <c r="G64" t="s">
        <v>12</v>
      </c>
      <c r="K64" t="s">
        <v>99</v>
      </c>
    </row>
    <row r="65" spans="2:12">
      <c r="B65" s="25" t="s">
        <v>31</v>
      </c>
      <c r="D65" s="8">
        <f>D64+0.1</f>
        <v>74.586754546370571</v>
      </c>
      <c r="E65" s="8">
        <f>MAX(D65+F65,E64+0.1)</f>
        <v>75.086754546370571</v>
      </c>
      <c r="F65" s="1">
        <f>$F$15</f>
        <v>0.5</v>
      </c>
      <c r="G65" t="s">
        <v>12</v>
      </c>
      <c r="L65" t="s">
        <v>96</v>
      </c>
    </row>
    <row r="66" spans="2:12">
      <c r="B66" s="25" t="s">
        <v>61</v>
      </c>
      <c r="D66" s="8">
        <f>D65+0.1</f>
        <v>74.686754546370565</v>
      </c>
      <c r="E66" s="8">
        <f t="shared" ref="E66:E68" si="11">D66+F66</f>
        <v>75.186754546370565</v>
      </c>
      <c r="F66" s="1">
        <f>$F$16</f>
        <v>0.5</v>
      </c>
      <c r="G66" t="s">
        <v>12</v>
      </c>
      <c r="L66" t="s">
        <v>102</v>
      </c>
    </row>
    <row r="67" spans="2:12">
      <c r="B67" s="25" t="s">
        <v>62</v>
      </c>
      <c r="C67" s="11">
        <f>ROUND(0.1*C60,0)</f>
        <v>2</v>
      </c>
      <c r="D67" s="8">
        <f t="shared" ref="D67:D68" si="12">E66</f>
        <v>75.186754546370565</v>
      </c>
      <c r="E67" s="8">
        <f t="shared" si="11"/>
        <v>75.686754546370565</v>
      </c>
      <c r="F67" s="6">
        <f>$F$25</f>
        <v>0.5</v>
      </c>
      <c r="G67" t="s">
        <v>12</v>
      </c>
      <c r="L67" t="s">
        <v>103</v>
      </c>
    </row>
    <row r="68" spans="2:12">
      <c r="B68" s="25" t="s">
        <v>53</v>
      </c>
      <c r="D68" s="8">
        <f t="shared" si="12"/>
        <v>75.686754546370565</v>
      </c>
      <c r="E68" s="8">
        <f t="shared" si="11"/>
        <v>76.186754546370565</v>
      </c>
      <c r="F68" s="6">
        <f>MAX(F61/2,0.5)</f>
        <v>0.5</v>
      </c>
      <c r="G68" t="s">
        <v>13</v>
      </c>
      <c r="I68" t="s">
        <v>103</v>
      </c>
      <c r="J68" s="23"/>
    </row>
    <row r="69" spans="2:12">
      <c r="D69" s="8"/>
      <c r="E69" s="8"/>
      <c r="F69" s="6"/>
    </row>
    <row r="70" spans="2:12">
      <c r="B70" s="25" t="s">
        <v>30</v>
      </c>
      <c r="D70" s="8">
        <f>E68</f>
        <v>76.186754546370565</v>
      </c>
      <c r="E70" s="8">
        <f t="shared" ref="E70:E71" si="13">D70+F70</f>
        <v>86.186754546370565</v>
      </c>
      <c r="F70" s="6">
        <f>$F$49</f>
        <v>10</v>
      </c>
      <c r="G70" t="s">
        <v>12</v>
      </c>
      <c r="J70" t="s">
        <v>99</v>
      </c>
    </row>
    <row r="71" spans="2:12">
      <c r="B71" s="25" t="s">
        <v>32</v>
      </c>
      <c r="D71" s="8">
        <f>E70</f>
        <v>86.186754546370565</v>
      </c>
      <c r="E71" s="8">
        <f t="shared" si="13"/>
        <v>86.686754546370565</v>
      </c>
      <c r="F71" s="6">
        <f>$F$14</f>
        <v>0.5</v>
      </c>
      <c r="G71" t="s">
        <v>12</v>
      </c>
      <c r="K71" t="s">
        <v>99</v>
      </c>
    </row>
    <row r="72" spans="2:12">
      <c r="B72" s="25" t="s">
        <v>31</v>
      </c>
      <c r="D72" s="8">
        <f>D71+0.1</f>
        <v>86.28675454637056</v>
      </c>
      <c r="E72" s="8">
        <f>MAX(D72+F72,E71+0.1)</f>
        <v>86.78675454637056</v>
      </c>
      <c r="F72" s="1">
        <f>$F$15</f>
        <v>0.5</v>
      </c>
      <c r="G72" t="s">
        <v>12</v>
      </c>
      <c r="L72" t="s">
        <v>96</v>
      </c>
    </row>
    <row r="73" spans="2:12">
      <c r="B73" s="25" t="s">
        <v>61</v>
      </c>
      <c r="D73" s="8">
        <f>D72+0.1</f>
        <v>86.386754546370554</v>
      </c>
      <c r="E73" s="8">
        <f t="shared" ref="E73:E74" si="14">D73+F73</f>
        <v>86.886754546370554</v>
      </c>
      <c r="F73" s="1">
        <f>$F$16</f>
        <v>0.5</v>
      </c>
      <c r="G73" t="s">
        <v>12</v>
      </c>
      <c r="L73" t="s">
        <v>102</v>
      </c>
    </row>
    <row r="74" spans="2:12">
      <c r="B74" s="25" t="s">
        <v>62</v>
      </c>
      <c r="C74" s="11">
        <f>ROUND(0.1*C67,0)</f>
        <v>0</v>
      </c>
      <c r="D74" s="8">
        <f t="shared" ref="D74" si="15">E73</f>
        <v>86.886754546370554</v>
      </c>
      <c r="E74" s="8">
        <f t="shared" si="14"/>
        <v>87.386754546370554</v>
      </c>
      <c r="F74" s="6">
        <f>$F$25</f>
        <v>0.5</v>
      </c>
      <c r="G74" t="s">
        <v>12</v>
      </c>
      <c r="L74" t="s">
        <v>103</v>
      </c>
    </row>
    <row r="75" spans="2:12">
      <c r="B75" s="25" t="s">
        <v>33</v>
      </c>
      <c r="D75" s="8">
        <f>E74</f>
        <v>87.386754546370554</v>
      </c>
      <c r="E75" s="8">
        <f t="shared" si="3"/>
        <v>87.886754546370554</v>
      </c>
      <c r="F75" s="7">
        <v>0.5</v>
      </c>
      <c r="J75" s="23"/>
      <c r="L75" t="s">
        <v>103</v>
      </c>
    </row>
    <row r="76" spans="2:12" ht="27">
      <c r="B76" s="32" t="s">
        <v>65</v>
      </c>
      <c r="C76" s="11">
        <f>C74</f>
        <v>0</v>
      </c>
      <c r="D76" s="8"/>
      <c r="E76" s="10">
        <f>E75</f>
        <v>87.886754546370554</v>
      </c>
      <c r="F76" s="6"/>
      <c r="H76" s="26" t="s">
        <v>51</v>
      </c>
    </row>
    <row r="77" spans="2:12" ht="18">
      <c r="B77" s="30" t="s">
        <v>14</v>
      </c>
      <c r="D77" s="15">
        <f>MAX(E76,E7,E5)</f>
        <v>87.886754546370554</v>
      </c>
      <c r="E77" s="8"/>
      <c r="F77" s="6"/>
    </row>
    <row r="78" spans="2:12">
      <c r="E78" s="8"/>
    </row>
    <row r="79" spans="2:12" ht="18">
      <c r="B79" s="33" t="s">
        <v>69</v>
      </c>
      <c r="D79" s="16"/>
      <c r="E79" s="16"/>
      <c r="F79" s="17"/>
      <c r="G79" s="18"/>
      <c r="H79" s="27"/>
    </row>
    <row r="80" spans="2:12" ht="18">
      <c r="B80" s="34" t="s">
        <v>35</v>
      </c>
      <c r="D80" s="16"/>
      <c r="E80" s="16"/>
      <c r="F80" s="19">
        <f>F4</f>
        <v>1.5</v>
      </c>
      <c r="G80" s="22" t="s">
        <v>43</v>
      </c>
      <c r="H80" s="27"/>
    </row>
    <row r="81" spans="2:8" ht="18">
      <c r="B81" s="34" t="s">
        <v>36</v>
      </c>
      <c r="D81" s="16"/>
      <c r="E81" s="16"/>
      <c r="F81" s="19">
        <f>F19+F26+F33+F40+F47+F54+F61+F68</f>
        <v>11.375</v>
      </c>
      <c r="G81" s="18"/>
      <c r="H81" s="27"/>
    </row>
    <row r="82" spans="2:8" ht="18">
      <c r="B82" s="34" t="s">
        <v>37</v>
      </c>
      <c r="D82" s="16"/>
      <c r="E82" s="16"/>
      <c r="F82" s="19">
        <f>F70+F63+F56+F49+F42+F35+F28+F21+F13</f>
        <v>58.1</v>
      </c>
      <c r="G82" s="18"/>
      <c r="H82" s="27"/>
    </row>
    <row r="83" spans="2:8" ht="18">
      <c r="B83" s="34" t="s">
        <v>38</v>
      </c>
      <c r="D83" s="16"/>
      <c r="E83" s="16"/>
      <c r="F83" s="19">
        <f>F14*10</f>
        <v>5</v>
      </c>
      <c r="G83" s="18"/>
      <c r="H83" s="27"/>
    </row>
    <row r="84" spans="2:8" ht="18">
      <c r="B84" s="34" t="s">
        <v>39</v>
      </c>
      <c r="D84" s="16"/>
      <c r="E84" s="16"/>
      <c r="F84" s="19">
        <f>(D16-D14)*10</f>
        <v>1.9999999999999929</v>
      </c>
      <c r="G84" s="22" t="s">
        <v>42</v>
      </c>
      <c r="H84" s="27"/>
    </row>
    <row r="85" spans="2:8" ht="36">
      <c r="B85" s="34" t="s">
        <v>40</v>
      </c>
      <c r="D85" s="20"/>
      <c r="E85" s="16"/>
      <c r="F85" s="19">
        <f>E76-F81-F82-F83-F84-F80</f>
        <v>9.9117545463705596</v>
      </c>
      <c r="G85" s="18"/>
      <c r="H85" s="27"/>
    </row>
    <row r="86" spans="2:8" ht="19" thickBot="1">
      <c r="B86" s="35"/>
      <c r="D86" s="16"/>
      <c r="E86" s="16"/>
      <c r="F86" s="21">
        <f>SUM(F80:F85)</f>
        <v>87.886754546370554</v>
      </c>
      <c r="G86" s="18" t="s">
        <v>41</v>
      </c>
      <c r="H86" s="27"/>
    </row>
    <row r="87" spans="2:8" ht="14" thickTop="1">
      <c r="D87" s="4"/>
      <c r="E87" s="4"/>
    </row>
    <row r="88" spans="2:8">
      <c r="D88" s="4"/>
      <c r="E88" s="4"/>
    </row>
    <row r="89" spans="2:8">
      <c r="D89" s="4"/>
      <c r="E89" s="4"/>
    </row>
  </sheetData>
  <phoneticPr fontId="8" type="noConversion"/>
  <pageMargins left="0.75" right="0.75" top="1" bottom="1" header="0.5" footer="0.5"/>
  <ignoredErrors>
    <ignoredError sqref="D51:E51 D23:E23 D25" formula="1"/>
  </ignoredErrors>
  <extLst>
    <ext xmlns:mx="http://schemas.microsoft.com/office/mac/excel/2008/main" uri="http://schemas.microsoft.com/office/mac/excel/2008/main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/>
  <dimension ref="B4:G12"/>
  <sheetViews>
    <sheetView workbookViewId="0">
      <selection activeCell="C12" sqref="C12"/>
    </sheetView>
  </sheetViews>
  <sheetFormatPr baseColWidth="10" defaultRowHeight="13"/>
  <cols>
    <col min="2" max="2" width="21.140625" bestFit="1" customWidth="1"/>
    <col min="7" max="7" width="42" style="25" customWidth="1"/>
  </cols>
  <sheetData>
    <row r="4" spans="2:7">
      <c r="B4" t="s">
        <v>73</v>
      </c>
      <c r="C4">
        <f>E4*3600</f>
        <v>4320000</v>
      </c>
      <c r="D4" t="s">
        <v>77</v>
      </c>
      <c r="E4">
        <f>100*12</f>
        <v>1200</v>
      </c>
      <c r="F4" t="s">
        <v>75</v>
      </c>
    </row>
    <row r="5" spans="2:7">
      <c r="B5" t="s">
        <v>74</v>
      </c>
      <c r="C5">
        <f>E5*60</f>
        <v>900</v>
      </c>
      <c r="D5" t="s">
        <v>77</v>
      </c>
      <c r="E5">
        <v>15</v>
      </c>
      <c r="F5" t="s">
        <v>84</v>
      </c>
    </row>
    <row r="6" spans="2:7">
      <c r="B6" t="s">
        <v>76</v>
      </c>
      <c r="C6">
        <f>ROUND('Config Timing ("original")'!E76+Sheet1!E76,0)</f>
        <v>88</v>
      </c>
      <c r="D6" t="s">
        <v>41</v>
      </c>
    </row>
    <row r="8" spans="2:7">
      <c r="B8" t="s">
        <v>78</v>
      </c>
      <c r="C8">
        <f>14*57*3</f>
        <v>2394</v>
      </c>
    </row>
    <row r="9" spans="2:7" ht="26">
      <c r="B9" t="s">
        <v>79</v>
      </c>
      <c r="C9">
        <v>0</v>
      </c>
      <c r="G9" s="25" t="s">
        <v>80</v>
      </c>
    </row>
    <row r="10" spans="2:7" ht="26">
      <c r="B10" t="s">
        <v>81</v>
      </c>
      <c r="C10">
        <f>(C8 - C9) - 'Config Timing ("original")'!C76+Sheet1!C76</f>
        <v>2394</v>
      </c>
      <c r="G10" s="25" t="s">
        <v>83</v>
      </c>
    </row>
    <row r="12" spans="2:7">
      <c r="B12" t="s">
        <v>82</v>
      </c>
      <c r="C12">
        <f>ROUND(C4/(C5+C6),0)*C10</f>
        <v>10466568</v>
      </c>
    </row>
  </sheetData>
  <phoneticPr fontId="8" type="noConversion"/>
  <pageMargins left="0.75" right="0.75" top="1" bottom="1" header="0.5" footer="0.5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Summary</vt:lpstr>
      <vt:lpstr>Config Timing (long)</vt:lpstr>
      <vt:lpstr>Config Timing (squeeze MC)</vt:lpstr>
      <vt:lpstr>Config Timing (squeeze FPGA)</vt:lpstr>
      <vt:lpstr>Config Timing (short)</vt:lpstr>
      <vt:lpstr>Config Timing ("original")</vt:lpstr>
      <vt:lpstr>Sheet1</vt:lpstr>
    </vt:vector>
  </TitlesOfParts>
  <Company>Caltech</Company>
  <LinksUpToDate>false</LinksUpToDate>
  <SharedDoc>false</SharedDoc>
  <HyperlinksChanged>false</HyperlinksChanged>
  <AppVersion>12.0001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Roger Smith</dc:creator>
  <cp:lastModifiedBy>Peter Mao</cp:lastModifiedBy>
  <dcterms:created xsi:type="dcterms:W3CDTF">2012-03-01T04:27:14Z</dcterms:created>
  <dcterms:modified xsi:type="dcterms:W3CDTF">2012-10-16T22:15:10Z</dcterms:modified>
</cp:coreProperties>
</file>