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 Zolkower\Documents\My Documents\PALOMAR\ZTF\Telescope Drive\Balance\"/>
    </mc:Choice>
  </mc:AlternateContent>
  <bookViews>
    <workbookView xWindow="0" yWindow="0" windowWidth="23040" windowHeight="9408"/>
  </bookViews>
  <sheets>
    <sheet name="ZTF-Full System" sheetId="7" r:id="rId1"/>
    <sheet name="Aug-16 Shutter install" sheetId="2" r:id="rId2"/>
    <sheet name="MoI" sheetId="6" r:id="rId3"/>
    <sheet name="primary weights " sheetId="4" r:id="rId4"/>
    <sheet name="corrector tube weights" sheetId="3" r:id="rId5"/>
    <sheet name="ZTF-Original Plan" sheetId="1" r:id="rId6"/>
  </sheets>
  <definedNames>
    <definedName name="_xlnm.Print_Area" localSheetId="1">'Aug-16 Shutter install'!$A$3:$Q$27</definedName>
    <definedName name="_xlnm.Print_Area" localSheetId="2">MoI!$A$3:$Z$40</definedName>
    <definedName name="_xlnm.Print_Area" localSheetId="0">'ZTF-Full System'!$A$3:$V$33</definedName>
    <definedName name="_xlnm.Print_Area" localSheetId="5">'ZTF-Original Plan'!$A$3:$O$28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4" l="1"/>
  <c r="B65" i="4"/>
  <c r="J55" i="4"/>
  <c r="K55" i="4"/>
  <c r="E55" i="4"/>
  <c r="F55" i="4"/>
  <c r="E28" i="4"/>
  <c r="H29" i="7"/>
  <c r="J54" i="4"/>
  <c r="K54" i="4"/>
  <c r="J53" i="4"/>
  <c r="E54" i="4"/>
  <c r="F54" i="4"/>
  <c r="E53" i="4"/>
  <c r="F53" i="4"/>
  <c r="K53" i="4"/>
  <c r="J51" i="4"/>
  <c r="K51" i="4"/>
  <c r="J52" i="4"/>
  <c r="K52" i="4"/>
  <c r="J56" i="4"/>
  <c r="K56" i="4"/>
  <c r="J58" i="4"/>
  <c r="K58" i="4"/>
  <c r="J59" i="4"/>
  <c r="K59" i="4"/>
  <c r="J60" i="4"/>
  <c r="K60" i="4"/>
  <c r="J61" i="4"/>
  <c r="K61" i="4"/>
  <c r="J62" i="4"/>
  <c r="K62" i="4"/>
  <c r="J63" i="4"/>
  <c r="K63" i="4"/>
  <c r="J64" i="4"/>
  <c r="K64" i="4"/>
  <c r="K67" i="4"/>
  <c r="E51" i="4"/>
  <c r="F51" i="4"/>
  <c r="E52" i="4"/>
  <c r="F52" i="4"/>
  <c r="E56" i="4"/>
  <c r="F56" i="4"/>
  <c r="E58" i="4"/>
  <c r="F58" i="4"/>
  <c r="E59" i="4"/>
  <c r="F59" i="4"/>
  <c r="E60" i="4"/>
  <c r="F60" i="4"/>
  <c r="E61" i="4"/>
  <c r="F61" i="4"/>
  <c r="E62" i="4"/>
  <c r="F62" i="4"/>
  <c r="E63" i="4"/>
  <c r="F63" i="4"/>
  <c r="E64" i="4"/>
  <c r="F64" i="4"/>
  <c r="F67" i="4"/>
  <c r="J66" i="4"/>
  <c r="E66" i="4"/>
  <c r="T31" i="6"/>
  <c r="S31" i="6"/>
  <c r="S6" i="6"/>
  <c r="S7" i="6"/>
  <c r="S8" i="6"/>
  <c r="S9" i="6"/>
  <c r="S12" i="6"/>
  <c r="S13" i="6"/>
  <c r="S14" i="6"/>
  <c r="S15" i="6"/>
  <c r="S16" i="6"/>
  <c r="S17" i="6"/>
  <c r="S18" i="6"/>
  <c r="S19" i="6"/>
  <c r="S20" i="6"/>
  <c r="S21" i="6"/>
  <c r="S22" i="6"/>
  <c r="S24" i="6"/>
  <c r="S25" i="6"/>
  <c r="S26" i="6"/>
  <c r="S27" i="6"/>
  <c r="S28" i="6"/>
  <c r="S29" i="6"/>
  <c r="S30" i="6"/>
  <c r="E32" i="6"/>
  <c r="E33" i="6"/>
  <c r="E34" i="6"/>
  <c r="E35" i="6"/>
  <c r="E36" i="6"/>
  <c r="E37" i="6"/>
  <c r="S37" i="6"/>
  <c r="E38" i="6"/>
  <c r="S36" i="6"/>
  <c r="S32" i="6"/>
  <c r="S33" i="6"/>
  <c r="T33" i="6"/>
  <c r="J14" i="6"/>
  <c r="I12" i="6"/>
  <c r="J38" i="6"/>
  <c r="I37" i="6"/>
  <c r="J36" i="6"/>
  <c r="I28" i="6"/>
  <c r="I29" i="6"/>
  <c r="I30" i="6"/>
  <c r="I31" i="6"/>
  <c r="I32" i="6"/>
  <c r="I33" i="6"/>
  <c r="I34" i="6"/>
  <c r="I35" i="6"/>
  <c r="I27" i="6"/>
  <c r="J26" i="6"/>
  <c r="I25" i="6"/>
  <c r="J22" i="6"/>
  <c r="I21" i="6"/>
  <c r="J20" i="6"/>
  <c r="I17" i="6"/>
  <c r="I18" i="6"/>
  <c r="I19" i="6"/>
  <c r="I16" i="6"/>
  <c r="T15" i="6"/>
  <c r="L14" i="7"/>
  <c r="P19" i="7"/>
  <c r="O21" i="7"/>
  <c r="K21" i="7"/>
  <c r="H21" i="7"/>
  <c r="O17" i="7"/>
  <c r="K19" i="7"/>
  <c r="K18" i="7"/>
  <c r="K17" i="7"/>
  <c r="L10" i="7"/>
  <c r="L11" i="7"/>
  <c r="L12" i="7"/>
  <c r="G12" i="7"/>
  <c r="G11" i="7"/>
  <c r="L13" i="7"/>
  <c r="G14" i="7"/>
  <c r="G7" i="7"/>
  <c r="G8" i="7"/>
  <c r="G9" i="7"/>
  <c r="G10" i="7"/>
  <c r="G6" i="7"/>
  <c r="E5" i="7"/>
  <c r="E15" i="7"/>
  <c r="E16" i="7"/>
  <c r="R16" i="7"/>
  <c r="E18" i="7"/>
  <c r="R18" i="7"/>
  <c r="E25" i="7"/>
  <c r="E26" i="7"/>
  <c r="G19" i="7"/>
  <c r="H17" i="7"/>
  <c r="H13" i="7"/>
  <c r="H27" i="7"/>
  <c r="H24" i="7"/>
  <c r="R15" i="7"/>
  <c r="C6" i="7"/>
  <c r="Q26" i="7"/>
  <c r="R5" i="7"/>
  <c r="T32" i="6"/>
  <c r="D35" i="6"/>
  <c r="E30" i="6"/>
  <c r="S35" i="6"/>
  <c r="S34" i="6"/>
  <c r="T34" i="6"/>
  <c r="T30" i="6"/>
  <c r="S38" i="6"/>
  <c r="T38" i="6"/>
  <c r="T35" i="6"/>
  <c r="T37" i="6"/>
  <c r="T36" i="6"/>
  <c r="H18" i="7"/>
  <c r="H16" i="7"/>
  <c r="H15" i="7"/>
  <c r="R6" i="7"/>
  <c r="R24" i="7"/>
  <c r="Q25" i="7"/>
  <c r="Q24" i="7"/>
  <c r="Q27" i="7"/>
  <c r="E12" i="6"/>
  <c r="E29" i="6"/>
  <c r="E28" i="6"/>
  <c r="E27" i="6"/>
  <c r="E25" i="6"/>
  <c r="T22" i="6"/>
  <c r="E26" i="6"/>
  <c r="T26" i="6"/>
  <c r="E23" i="6"/>
  <c r="E22" i="6"/>
  <c r="E21" i="6"/>
  <c r="E20" i="6"/>
  <c r="E19" i="6"/>
  <c r="E18" i="6"/>
  <c r="E17" i="6"/>
  <c r="E16" i="6"/>
  <c r="E14" i="6"/>
  <c r="I13" i="6"/>
  <c r="E13" i="6"/>
  <c r="R13" i="6"/>
  <c r="T13" i="6"/>
  <c r="I24" i="6"/>
  <c r="E24" i="6"/>
  <c r="F11" i="6"/>
  <c r="Q11" i="6"/>
  <c r="J11" i="6"/>
  <c r="E11" i="6"/>
  <c r="I10" i="6"/>
  <c r="D10" i="6"/>
  <c r="E10" i="6"/>
  <c r="J10" i="6"/>
  <c r="F10" i="6"/>
  <c r="R8" i="6"/>
  <c r="T8" i="6"/>
  <c r="J8" i="6"/>
  <c r="J9" i="6"/>
  <c r="E8" i="6"/>
  <c r="E9" i="6"/>
  <c r="R9" i="6"/>
  <c r="T9" i="6"/>
  <c r="J7" i="6"/>
  <c r="L6" i="6"/>
  <c r="E7" i="6"/>
  <c r="R7" i="6"/>
  <c r="T7" i="6"/>
  <c r="O6" i="6"/>
  <c r="J6" i="6"/>
  <c r="E6" i="6"/>
  <c r="T6" i="6"/>
  <c r="E5" i="6"/>
  <c r="O5" i="6"/>
  <c r="I5" i="6"/>
  <c r="K5" i="6"/>
  <c r="J5" i="6"/>
  <c r="T17" i="6"/>
  <c r="T21" i="6"/>
  <c r="T29" i="6"/>
  <c r="T18" i="6"/>
  <c r="T25" i="6"/>
  <c r="T12" i="6"/>
  <c r="T14" i="6"/>
  <c r="T19" i="6"/>
  <c r="T27" i="6"/>
  <c r="T16" i="6"/>
  <c r="T20" i="6"/>
  <c r="T28" i="6"/>
  <c r="S5" i="6"/>
  <c r="R10" i="6"/>
  <c r="T24" i="6"/>
  <c r="R27" i="7"/>
  <c r="R25" i="7"/>
  <c r="R26" i="7"/>
  <c r="H22" i="7"/>
  <c r="R11" i="6"/>
  <c r="T11" i="6"/>
  <c r="L5" i="6"/>
  <c r="R5" i="6"/>
  <c r="T5" i="6"/>
  <c r="B20" i="4"/>
  <c r="C10" i="2"/>
  <c r="T40" i="6"/>
  <c r="T42" i="6"/>
  <c r="T39" i="6"/>
  <c r="J36" i="4"/>
  <c r="K36" i="4"/>
  <c r="E36" i="4"/>
  <c r="F36" i="4"/>
  <c r="B38" i="4"/>
  <c r="B37" i="4"/>
  <c r="J31" i="4"/>
  <c r="K31" i="4"/>
  <c r="E31" i="4"/>
  <c r="F31" i="4"/>
  <c r="J34" i="4"/>
  <c r="K34" i="4"/>
  <c r="J33" i="4"/>
  <c r="K33" i="4"/>
  <c r="E33" i="4"/>
  <c r="F33" i="4"/>
  <c r="F28" i="4"/>
  <c r="E34" i="4"/>
  <c r="F34" i="4"/>
  <c r="E32" i="4"/>
  <c r="F32" i="4"/>
  <c r="E30" i="4"/>
  <c r="F30" i="4"/>
  <c r="E26" i="4"/>
  <c r="F26" i="4"/>
  <c r="E25" i="4"/>
  <c r="F25" i="4"/>
  <c r="J28" i="4"/>
  <c r="K28" i="4"/>
  <c r="J30" i="4"/>
  <c r="K30" i="4"/>
  <c r="J32" i="4"/>
  <c r="K32" i="4"/>
  <c r="J26" i="4"/>
  <c r="K26" i="4"/>
  <c r="J25" i="4"/>
  <c r="E35" i="4"/>
  <c r="F35" i="4"/>
  <c r="J35" i="4"/>
  <c r="K35" i="4"/>
  <c r="F11" i="4"/>
  <c r="K11" i="4"/>
  <c r="J12" i="4"/>
  <c r="K10" i="4"/>
  <c r="K9" i="4"/>
  <c r="K8" i="4"/>
  <c r="K7" i="4"/>
  <c r="K6" i="4"/>
  <c r="E12" i="4"/>
  <c r="F10" i="4"/>
  <c r="F9" i="4"/>
  <c r="F7" i="4"/>
  <c r="F8" i="4"/>
  <c r="F6" i="4"/>
  <c r="J38" i="4"/>
  <c r="E38" i="4"/>
  <c r="B43" i="4"/>
  <c r="F39" i="4"/>
  <c r="F43" i="4"/>
  <c r="K25" i="4"/>
  <c r="K13" i="4"/>
  <c r="K19" i="4"/>
  <c r="F13" i="4"/>
  <c r="F19" i="4"/>
  <c r="F11" i="2"/>
  <c r="J15" i="2"/>
  <c r="H15" i="2"/>
  <c r="C9" i="3"/>
  <c r="C5" i="3"/>
  <c r="K10" i="3"/>
  <c r="H10" i="3"/>
  <c r="E5" i="3"/>
  <c r="E8" i="3"/>
  <c r="E9" i="3"/>
  <c r="E10" i="3"/>
  <c r="K8" i="3"/>
  <c r="H8" i="3"/>
  <c r="H9" i="3"/>
  <c r="F9" i="3"/>
  <c r="K7" i="3"/>
  <c r="I7" i="3"/>
  <c r="H7" i="3"/>
  <c r="F7" i="3"/>
  <c r="I6" i="3"/>
  <c r="K6" i="3"/>
  <c r="H6" i="3"/>
  <c r="F6" i="3"/>
  <c r="K5" i="3"/>
  <c r="I5" i="3"/>
  <c r="H5" i="3"/>
  <c r="F5" i="3"/>
  <c r="G8" i="1"/>
  <c r="G21" i="2"/>
  <c r="D20" i="2"/>
  <c r="D19" i="2"/>
  <c r="G18" i="2"/>
  <c r="D6" i="2"/>
  <c r="G6" i="2"/>
  <c r="D5" i="2"/>
  <c r="M5" i="2"/>
  <c r="G5" i="2"/>
  <c r="M6" i="2"/>
  <c r="D9" i="2"/>
  <c r="M9" i="2"/>
  <c r="M10" i="2"/>
  <c r="D12" i="2"/>
  <c r="M12" i="2"/>
  <c r="D13" i="2"/>
  <c r="M13" i="2"/>
  <c r="L19" i="2"/>
  <c r="D14" i="2"/>
  <c r="F10" i="2"/>
  <c r="G7" i="2"/>
  <c r="D5" i="1"/>
  <c r="G5" i="1"/>
  <c r="D9" i="1"/>
  <c r="F9" i="1"/>
  <c r="F10" i="1"/>
  <c r="D12" i="1"/>
  <c r="F12" i="1"/>
  <c r="F14" i="1"/>
  <c r="F15" i="1"/>
  <c r="F16" i="1"/>
  <c r="F19" i="1"/>
  <c r="F22" i="1"/>
  <c r="D6" i="1"/>
  <c r="G6" i="1"/>
  <c r="G7" i="1"/>
  <c r="D11" i="1"/>
  <c r="G11" i="1"/>
  <c r="D13" i="1"/>
  <c r="G13" i="1"/>
  <c r="H20" i="1"/>
  <c r="I20" i="1"/>
  <c r="J20" i="1"/>
  <c r="D20" i="1"/>
  <c r="G20" i="1"/>
  <c r="D21" i="1"/>
  <c r="G21" i="1"/>
  <c r="H22" i="1"/>
  <c r="I22" i="1"/>
  <c r="J22" i="1"/>
  <c r="K15" i="1"/>
  <c r="K5" i="1"/>
  <c r="K6" i="1"/>
  <c r="K9" i="1"/>
  <c r="K10" i="1"/>
  <c r="K11" i="1"/>
  <c r="K12" i="1"/>
  <c r="K13" i="1"/>
  <c r="K14" i="1"/>
  <c r="K16" i="1"/>
  <c r="H19" i="1"/>
  <c r="I19" i="1"/>
  <c r="J19" i="1"/>
  <c r="H21" i="1"/>
  <c r="I21" i="1"/>
  <c r="K39" i="4"/>
  <c r="K43" i="4"/>
  <c r="J21" i="1"/>
  <c r="K22" i="1"/>
  <c r="K21" i="1"/>
  <c r="K20" i="1"/>
  <c r="L18" i="2"/>
  <c r="M14" i="2"/>
  <c r="M18" i="2"/>
  <c r="L20" i="2"/>
  <c r="L21" i="2"/>
  <c r="G15" i="2"/>
  <c r="G16" i="2"/>
  <c r="M21" i="2"/>
  <c r="M20" i="2"/>
  <c r="M19" i="2"/>
  <c r="K19" i="1"/>
</calcChain>
</file>

<file path=xl/comments1.xml><?xml version="1.0" encoding="utf-8"?>
<comments xmlns="http://schemas.openxmlformats.org/spreadsheetml/2006/main">
  <authors>
    <author>Jeff Zolkower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Jeff Zolkower:</t>
        </r>
        <r>
          <rPr>
            <sz val="9"/>
            <color indexed="81"/>
            <rFont val="Tahoma"/>
            <family val="2"/>
          </rPr>
          <t xml:space="preserve">
Adjsuted MoI based on ratio of:
 dwg mass/CAD mass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Jeff Zolkower:</t>
        </r>
        <r>
          <rPr>
            <sz val="9"/>
            <color indexed="81"/>
            <rFont val="Tahoma"/>
            <family val="2"/>
          </rPr>
          <t xml:space="preserve">
Adjsuted MoI based on ratio of:
 dwg mass/CAD mass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Jeff Zolkower:</t>
        </r>
        <r>
          <rPr>
            <sz val="9"/>
            <color indexed="81"/>
            <rFont val="Tahoma"/>
            <family val="2"/>
          </rPr>
          <t xml:space="preserve">
combined straight and tapered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Jeff Zolkower:</t>
        </r>
        <r>
          <rPr>
            <sz val="9"/>
            <color indexed="81"/>
            <rFont val="Tahoma"/>
            <family val="2"/>
          </rPr>
          <t xml:space="preserve">
combined straight and tapered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Jeff Zolkower:</t>
        </r>
        <r>
          <rPr>
            <sz val="9"/>
            <color indexed="81"/>
            <rFont val="Tahoma"/>
            <family val="2"/>
          </rPr>
          <t xml:space="preserve">
combined straight and tapered
</t>
        </r>
      </text>
    </comment>
  </commentList>
</comments>
</file>

<file path=xl/sharedStrings.xml><?xml version="1.0" encoding="utf-8"?>
<sst xmlns="http://schemas.openxmlformats.org/spreadsheetml/2006/main" count="501" uniqueCount="204">
  <si>
    <t>Item</t>
  </si>
  <si>
    <t>Decription</t>
  </si>
  <si>
    <t>Weight 
(lbs)</t>
  </si>
  <si>
    <t>+ UP</t>
  </si>
  <si>
    <t>- DOWN</t>
  </si>
  <si>
    <t>Component 
Moment change
(ft-lb)</t>
  </si>
  <si>
    <t>A)</t>
  </si>
  <si>
    <t>Assumptions</t>
  </si>
  <si>
    <t>B)</t>
  </si>
  <si>
    <t>Ballast around corrector mount</t>
  </si>
  <si>
    <t>Remove</t>
  </si>
  <si>
    <t>Corrector 3rd element &amp; cell</t>
  </si>
  <si>
    <t>C)</t>
  </si>
  <si>
    <t>Corrector doublet location same as PTF &amp; trim plate according to current CAD model.  This will likely change by a 1 or 2 inches. (~ 150 ft-lbs)</t>
  </si>
  <si>
    <t>Add</t>
  </si>
  <si>
    <t>red=estimated mass</t>
  </si>
  <si>
    <t>PTF camera, hud &amp; spiders</t>
  </si>
  <si>
    <t>ZTF camera, hub &amp; spiders</t>
  </si>
  <si>
    <t>PTF Electronics Rack</t>
  </si>
  <si>
    <t>Off balance moment
(ft-lb)</t>
  </si>
  <si>
    <t>ZTF Electronics Rack:  Mid-position</t>
  </si>
  <si>
    <t>ZTF Electronics Rack:  Rear-position</t>
  </si>
  <si>
    <t>ZTF Electronics Rack: Forward position</t>
  </si>
  <si>
    <t>Ballast at old clamshell mount</t>
  </si>
  <si>
    <t>Notes</t>
  </si>
  <si>
    <t>Remove Finder scopes &amp; Rear E-Rack</t>
  </si>
  <si>
    <t>Only main moment/mass contributors are included in this analysis.  Smaller components could contribute to ~ 10% error in this result.</t>
  </si>
  <si>
    <t>ZTF Preliminary Top-Down Balance Calculation</t>
  </si>
  <si>
    <t xml:space="preserve">D) </t>
  </si>
  <si>
    <t>Movable counterweight provides ~ 1000 ft-lb range.  Current position of movable counterweight with PTF installation in near maximum lower position (near primary).</t>
  </si>
  <si>
    <t>CCD controlers</t>
  </si>
  <si>
    <t>guess?
15 lbs ea with mt brkt</t>
  </si>
  <si>
    <t>CG dist
 from Dec axis
(feet)</t>
  </si>
  <si>
    <t>Cables, hoses, air handling</t>
  </si>
  <si>
    <t>Component
Add/
Remove</t>
  </si>
  <si>
    <t xml:space="preserve">guess? </t>
  </si>
  <si>
    <t>13a</t>
  </si>
  <si>
    <t>13b</t>
  </si>
  <si>
    <t>13c</t>
  </si>
  <si>
    <t>Effect on 
Moment of inertia (lbs-ft^2)</t>
  </si>
  <si>
    <t xml:space="preserve">Increased mass
(lbs) 
ZTF vs PTF </t>
  </si>
  <si>
    <t>Req'd counterweight near primary
(lbs)</t>
  </si>
  <si>
    <t>13c-1</t>
  </si>
  <si>
    <r>
      <t>Increased   
moment of inertia
(lbs-ft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 
ZTF vs PTF</t>
    </r>
  </si>
  <si>
    <t xml:space="preserve">est of telescope tube MOI
w/o instr.   
385K lb-ft^2
</t>
  </si>
  <si>
    <t xml:space="preserve">Current PTF balanced telescope is baseline.  Information above shows changes relative to PTF installation.  
Calculations do not include North-South balance, which may require additional counterweights. </t>
  </si>
  <si>
    <t>updated info from MF 6/16/16</t>
  </si>
  <si>
    <t xml:space="preserve">guess?
</t>
  </si>
  <si>
    <t>Shutter, adapter &amp; baffle assembly</t>
  </si>
  <si>
    <t>Filter Exchanger</t>
  </si>
  <si>
    <t>Current top end baffle</t>
  </si>
  <si>
    <t>Top-Down</t>
  </si>
  <si>
    <t>North-South</t>
  </si>
  <si>
    <t>East-West</t>
  </si>
  <si>
    <t>Ov</t>
  </si>
  <si>
    <t>Sorption dewar</t>
  </si>
  <si>
    <t>weight location</t>
  </si>
  <si>
    <t>mass</t>
  </si>
  <si>
    <t>dist from  axis (ft)</t>
  </si>
  <si>
    <t>mass (lbs)</t>
  </si>
  <si>
    <t>included</t>
  </si>
  <si>
    <t>moment
(lb-ft)
Top(+)</t>
  </si>
  <si>
    <t>moment
(lb-ft)
North(+)</t>
  </si>
  <si>
    <t>moment
(lb-ft)
East(+)</t>
  </si>
  <si>
    <t>summation</t>
  </si>
  <si>
    <t xml:space="preserve">      -------</t>
  </si>
  <si>
    <t xml:space="preserve">       ---- </t>
  </si>
  <si>
    <t>corrector north</t>
  </si>
  <si>
    <t>corrector southeast</t>
  </si>
  <si>
    <t>corrector southwest</t>
  </si>
  <si>
    <t>corrector clamshell bricks</t>
  </si>
  <si>
    <t>keep</t>
  </si>
  <si>
    <t>NA</t>
  </si>
  <si>
    <t>+ EAST</t>
  </si>
  <si>
    <t>- WEST</t>
  </si>
  <si>
    <t>+NORTH</t>
  </si>
  <si>
    <t>- SOUTH</t>
  </si>
  <si>
    <t>corrector weight sub total</t>
  </si>
  <si>
    <t>Shutter electronics</t>
  </si>
  <si>
    <t>counter weight location</t>
  </si>
  <si>
    <t>(5 ft from Dec)
in front of primary mirror</t>
  </si>
  <si>
    <t>counter weight @ primary (lbs)</t>
  </si>
  <si>
    <t>Steel plates
primary weight 
14.35 lbs each</t>
  </si>
  <si>
    <t>shutter w/ brkts: ~200 lbs, measured
adapter &amp; baffle:  99 lbs</t>
  </si>
  <si>
    <t xml:space="preserve">weight location </t>
  </si>
  <si>
    <t>lead wgt</t>
  </si>
  <si>
    <t>steel wgt</t>
  </si>
  <si>
    <t>qty</t>
  </si>
  <si>
    <t>weight type</t>
  </si>
  <si>
    <t>lead</t>
  </si>
  <si>
    <t>North-South total</t>
  </si>
  <si>
    <t>total weights</t>
  </si>
  <si>
    <t>East-West total</t>
  </si>
  <si>
    <t>south heavy</t>
  </si>
  <si>
    <t>west heavy</t>
  </si>
  <si>
    <t xml:space="preserve">req'd balance changes with shutter instaltion </t>
  </si>
  <si>
    <t>shutter install req'd</t>
  </si>
  <si>
    <t>north</t>
  </si>
  <si>
    <t>east</t>
  </si>
  <si>
    <t>combined result</t>
  </si>
  <si>
    <t>231 lbs</t>
  </si>
  <si>
    <t>227 lbs</t>
  </si>
  <si>
    <t>added</t>
  </si>
  <si>
    <t>steel</t>
  </si>
  <si>
    <t>north heavy</t>
  </si>
  <si>
    <t>21 lbs</t>
  </si>
  <si>
    <t>14.4 lbs</t>
  </si>
  <si>
    <t>east heavy</t>
  </si>
  <si>
    <t>updated  8/29/16</t>
  </si>
  <si>
    <t>see  
primary wgt tab</t>
  </si>
  <si>
    <t>see
primary wgt tab</t>
  </si>
  <si>
    <t>for top-down</t>
  </si>
  <si>
    <t>primary weights</t>
  </si>
  <si>
    <t>combined</t>
  </si>
  <si>
    <t>west</t>
  </si>
  <si>
    <t>resulting moments</t>
  </si>
  <si>
    <t>total weights (lbs)</t>
  </si>
  <si>
    <t>Note:  Movable counterweight is at the maximum top position.  8-31-16</t>
  </si>
  <si>
    <t>before shutter install</t>
  </si>
  <si>
    <t>Weight
Drawing 
(lbs)</t>
  </si>
  <si>
    <t>Weight
CAD 
(kg)</t>
  </si>
  <si>
    <r>
      <t>MoI Dec axis
CAD
(kg-m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)</t>
    </r>
  </si>
  <si>
    <t xml:space="preserve">P48 PTF - ZTF
DEC Moment of Inertia </t>
  </si>
  <si>
    <t>ZTF Component
Add/
Remove</t>
  </si>
  <si>
    <t>System
TEL
PTF
ZTF</t>
  </si>
  <si>
    <t>TEL</t>
  </si>
  <si>
    <t>Weight
Drawing 
(kg)</t>
  </si>
  <si>
    <r>
      <t>MoI Dec axis
CAD mass adjust
(kg-m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)</t>
    </r>
  </si>
  <si>
    <r>
      <t>MoI Dec axis
Dwg simple calc
(kg-m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)</t>
    </r>
  </si>
  <si>
    <t>Mirror cell assem</t>
  </si>
  <si>
    <t>Mirror Cell cover</t>
  </si>
  <si>
    <t>-</t>
  </si>
  <si>
    <t>Primary MIrror</t>
  </si>
  <si>
    <t>CG dist
 from Dec axis
Drawing
(feet)</t>
  </si>
  <si>
    <t>CG dist
 from Dec axis
Drawing
(meter)</t>
  </si>
  <si>
    <t>CG dist
 from Dec axis
CAD
(meter)</t>
  </si>
  <si>
    <t>Tube - Straight Section</t>
  </si>
  <si>
    <t>Tube -Taper Section</t>
  </si>
  <si>
    <t>combined tube assy</t>
  </si>
  <si>
    <t>Finder scopes</t>
  </si>
  <si>
    <t>PTF</t>
  </si>
  <si>
    <t>Ring girder</t>
  </si>
  <si>
    <t>Invar bars</t>
  </si>
  <si>
    <t>Doublet corrector</t>
  </si>
  <si>
    <t>Corrector bolts</t>
  </si>
  <si>
    <t>Jiggler gear case</t>
  </si>
  <si>
    <t>Jiggler drive motor</t>
  </si>
  <si>
    <t>Ball limit switch</t>
  </si>
  <si>
    <t>Jiggle drive cover</t>
  </si>
  <si>
    <t>Mount for external cwgt</t>
  </si>
  <si>
    <t>Moving wt external</t>
  </si>
  <si>
    <t>Primary weight bkts</t>
  </si>
  <si>
    <t>--</t>
  </si>
  <si>
    <t>Old top end baffle</t>
  </si>
  <si>
    <t>Corrector weights</t>
  </si>
  <si>
    <t>Clamshell weights</t>
  </si>
  <si>
    <t>Manhole cover</t>
  </si>
  <si>
    <t>Trim Plate assem</t>
  </si>
  <si>
    <t>ZTF camera, Hex, spiders</t>
  </si>
  <si>
    <t>Shutter, adapter, baffle</t>
  </si>
  <si>
    <t>Archons CCD controler</t>
  </si>
  <si>
    <t>ZTF E-Rack</t>
  </si>
  <si>
    <t>Primary weights (PTF)</t>
  </si>
  <si>
    <t>Cables, hoses</t>
  </si>
  <si>
    <t>PTF E-Rack</t>
  </si>
  <si>
    <t>Trim Plate Assembly</t>
  </si>
  <si>
    <t>Primary c'wgt (current installed)</t>
  </si>
  <si>
    <t>adjust</t>
  </si>
  <si>
    <t xml:space="preserve">req'd balance changes </t>
  </si>
  <si>
    <t>Finder scope-South</t>
  </si>
  <si>
    <t>addn'l counter weight @ primary (lbs)</t>
  </si>
  <si>
    <t>ZTF Balance Calculation</t>
  </si>
  <si>
    <t>CG dist (N-S)
(ft)</t>
  </si>
  <si>
    <t>CG dist (E-W)
(ft)</t>
  </si>
  <si>
    <t>CG dist (T-D)
 from Dec axis
(ft)</t>
  </si>
  <si>
    <t>Aug 2016 to ZTF Full Assembly</t>
  </si>
  <si>
    <t>Down</t>
  </si>
  <si>
    <t>Up</t>
  </si>
  <si>
    <t>Filter Exchanger_Closet</t>
  </si>
  <si>
    <t>Filter Exchanger_Bracket Assembly</t>
  </si>
  <si>
    <t>Filter Exchanger_Robot-cradle</t>
  </si>
  <si>
    <t>ZTF</t>
  </si>
  <si>
    <t>Selected MoI
(kg-m^2)</t>
  </si>
  <si>
    <t>PTF camera, hub, spiders</t>
  </si>
  <si>
    <t>MoI Telescope w/ PTF</t>
  </si>
  <si>
    <t>MoI Telescope w/ ZTF</t>
  </si>
  <si>
    <t>Primary weights (ZTF)</t>
  </si>
  <si>
    <t>Increased MoI ZTF/PTF</t>
  </si>
  <si>
    <t>pre-shutter</t>
  </si>
  <si>
    <t>with corr wgt removed</t>
  </si>
  <si>
    <t>balance 858 ft-lb top-down</t>
  </si>
  <si>
    <t xml:space="preserve">172 lbs primary wgt added to  </t>
  </si>
  <si>
    <t xml:space="preserve">ZTF shutter install </t>
  </si>
  <si>
    <t>changes</t>
  </si>
  <si>
    <t>total primary weight</t>
  </si>
  <si>
    <t>ZTF shutter install
8-31-16</t>
  </si>
  <si>
    <t xml:space="preserve">ZTF complete install
</t>
  </si>
  <si>
    <t>1E</t>
  </si>
  <si>
    <t>2E</t>
  </si>
  <si>
    <t>no change
Added 
Aug-2016</t>
  </si>
  <si>
    <t>total primary wgts for top-down balance</t>
  </si>
  <si>
    <t>see  
primary wgts tab</t>
  </si>
  <si>
    <t>see
primary wgts tab</t>
  </si>
  <si>
    <t>New weight mount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</si>
</sst>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top"/>
    </xf>
    <xf numFmtId="0" fontId="5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0" fontId="1" fillId="0" borderId="4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64" fontId="1" fillId="3" borderId="2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64" fontId="1" fillId="4" borderId="2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4" fontId="4" fillId="3" borderId="4" xfId="0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7" xfId="0" applyFont="1" applyBorder="1"/>
    <xf numFmtId="164" fontId="4" fillId="3" borderId="7" xfId="0" applyNumberFormat="1" applyFont="1" applyFill="1" applyBorder="1"/>
    <xf numFmtId="164" fontId="4" fillId="4" borderId="7" xfId="0" applyNumberFormat="1" applyFont="1" applyFill="1" applyBorder="1"/>
    <xf numFmtId="164" fontId="4" fillId="2" borderId="8" xfId="0" applyNumberFormat="1" applyFont="1" applyFill="1" applyBorder="1"/>
    <xf numFmtId="164" fontId="4" fillId="2" borderId="2" xfId="0" applyNumberFormat="1" applyFont="1" applyFill="1" applyBorder="1"/>
    <xf numFmtId="0" fontId="9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7" fillId="0" borderId="1" xfId="0" applyFont="1" applyBorder="1"/>
    <xf numFmtId="164" fontId="10" fillId="0" borderId="1" xfId="0" applyNumberFormat="1" applyFont="1" applyBorder="1"/>
    <xf numFmtId="1" fontId="0" fillId="0" borderId="0" xfId="0" applyNumberFormat="1"/>
    <xf numFmtId="0" fontId="4" fillId="5" borderId="1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9" xfId="0" applyBorder="1"/>
    <xf numFmtId="0" fontId="0" fillId="0" borderId="11" xfId="0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9" fillId="0" borderId="14" xfId="0" applyFont="1" applyBorder="1"/>
    <xf numFmtId="0" fontId="9" fillId="0" borderId="12" xfId="0" applyFont="1" applyBorder="1"/>
    <xf numFmtId="164" fontId="9" fillId="0" borderId="13" xfId="0" applyNumberFormat="1" applyFont="1" applyBorder="1"/>
    <xf numFmtId="164" fontId="9" fillId="0" borderId="16" xfId="0" applyNumberFormat="1" applyFont="1" applyBorder="1"/>
    <xf numFmtId="164" fontId="0" fillId="0" borderId="0" xfId="0" applyNumberFormat="1"/>
    <xf numFmtId="164" fontId="0" fillId="0" borderId="12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0" xfId="0" applyNumberFormat="1" applyBorder="1"/>
    <xf numFmtId="164" fontId="0" fillId="0" borderId="0" xfId="0" applyNumberFormat="1" applyFill="1" applyBorder="1"/>
    <xf numFmtId="164" fontId="0" fillId="0" borderId="15" xfId="0" applyNumberFormat="1" applyBorder="1"/>
    <xf numFmtId="0" fontId="1" fillId="6" borderId="1" xfId="0" applyFont="1" applyFill="1" applyBorder="1"/>
    <xf numFmtId="164" fontId="10" fillId="6" borderId="1" xfId="0" applyNumberFormat="1" applyFont="1" applyFill="1" applyBorder="1"/>
    <xf numFmtId="164" fontId="1" fillId="6" borderId="1" xfId="0" applyNumberFormat="1" applyFont="1" applyFill="1" applyBorder="1"/>
    <xf numFmtId="0" fontId="0" fillId="0" borderId="0" xfId="0" applyFill="1"/>
    <xf numFmtId="0" fontId="1" fillId="0" borderId="2" xfId="0" applyFont="1" applyBorder="1" applyAlignment="1">
      <alignment horizontal="center"/>
    </xf>
    <xf numFmtId="164" fontId="1" fillId="5" borderId="5" xfId="0" applyNumberFormat="1" applyFont="1" applyFill="1" applyBorder="1"/>
    <xf numFmtId="0" fontId="4" fillId="5" borderId="17" xfId="0" applyFont="1" applyFill="1" applyBorder="1" applyAlignment="1">
      <alignment horizontal="center" wrapText="1"/>
    </xf>
    <xf numFmtId="164" fontId="4" fillId="5" borderId="17" xfId="0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right"/>
    </xf>
    <xf numFmtId="164" fontId="1" fillId="0" borderId="19" xfId="0" applyNumberFormat="1" applyFont="1" applyBorder="1"/>
    <xf numFmtId="0" fontId="4" fillId="0" borderId="20" xfId="0" applyFont="1" applyBorder="1" applyAlignment="1">
      <alignment horizontal="right"/>
    </xf>
    <xf numFmtId="164" fontId="1" fillId="0" borderId="21" xfId="0" applyNumberFormat="1" applyFont="1" applyBorder="1"/>
    <xf numFmtId="0" fontId="1" fillId="3" borderId="20" xfId="0" applyFont="1" applyFill="1" applyBorder="1"/>
    <xf numFmtId="164" fontId="1" fillId="3" borderId="21" xfId="0" applyNumberFormat="1" applyFont="1" applyFill="1" applyBorder="1"/>
    <xf numFmtId="0" fontId="1" fillId="4" borderId="20" xfId="0" applyFont="1" applyFill="1" applyBorder="1"/>
    <xf numFmtId="164" fontId="1" fillId="4" borderId="21" xfId="0" applyNumberFormat="1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4" fillId="0" borderId="22" xfId="0" applyFont="1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0" xfId="0" quotePrefix="1" applyFont="1" applyBorder="1" applyAlignment="1">
      <alignment horizontal="center"/>
    </xf>
    <xf numFmtId="0" fontId="2" fillId="0" borderId="21" xfId="0" quotePrefix="1" applyFont="1" applyBorder="1" applyAlignment="1">
      <alignment horizontal="center"/>
    </xf>
    <xf numFmtId="164" fontId="1" fillId="3" borderId="7" xfId="0" applyNumberFormat="1" applyFont="1" applyFill="1" applyBorder="1"/>
    <xf numFmtId="164" fontId="1" fillId="3" borderId="20" xfId="0" applyNumberFormat="1" applyFont="1" applyFill="1" applyBorder="1"/>
    <xf numFmtId="164" fontId="1" fillId="0" borderId="20" xfId="0" applyNumberFormat="1" applyFont="1" applyBorder="1"/>
    <xf numFmtId="164" fontId="1" fillId="6" borderId="20" xfId="0" applyNumberFormat="1" applyFont="1" applyFill="1" applyBorder="1"/>
    <xf numFmtId="164" fontId="1" fillId="6" borderId="21" xfId="0" applyNumberFormat="1" applyFont="1" applyFill="1" applyBorder="1"/>
    <xf numFmtId="0" fontId="0" fillId="5" borderId="20" xfId="0" applyFill="1" applyBorder="1"/>
    <xf numFmtId="0" fontId="0" fillId="0" borderId="20" xfId="0" applyBorder="1"/>
    <xf numFmtId="0" fontId="0" fillId="0" borderId="22" xfId="0" applyBorder="1"/>
    <xf numFmtId="0" fontId="0" fillId="0" borderId="24" xfId="0" applyBorder="1" applyAlignment="1">
      <alignment wrapText="1"/>
    </xf>
    <xf numFmtId="0" fontId="1" fillId="0" borderId="20" xfId="0" applyFont="1" applyBorder="1"/>
    <xf numFmtId="0" fontId="0" fillId="0" borderId="21" xfId="0" applyBorder="1"/>
    <xf numFmtId="1" fontId="0" fillId="0" borderId="21" xfId="0" applyNumberFormat="1" applyBorder="1"/>
    <xf numFmtId="0" fontId="0" fillId="0" borderId="0" xfId="0" applyFill="1" applyBorder="1"/>
    <xf numFmtId="164" fontId="7" fillId="0" borderId="20" xfId="0" applyNumberFormat="1" applyFont="1" applyBorder="1"/>
    <xf numFmtId="164" fontId="14" fillId="0" borderId="20" xfId="0" applyNumberFormat="1" applyFont="1" applyBorder="1"/>
    <xf numFmtId="164" fontId="14" fillId="3" borderId="20" xfId="0" applyNumberFormat="1" applyFont="1" applyFill="1" applyBorder="1"/>
    <xf numFmtId="164" fontId="14" fillId="4" borderId="20" xfId="0" applyNumberFormat="1" applyFont="1" applyFill="1" applyBorder="1"/>
    <xf numFmtId="0" fontId="14" fillId="2" borderId="20" xfId="0" applyFont="1" applyFill="1" applyBorder="1"/>
    <xf numFmtId="0" fontId="13" fillId="0" borderId="20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5" borderId="5" xfId="0" applyFont="1" applyFill="1" applyBorder="1" applyAlignment="1">
      <alignment horizontal="right" wrapText="1"/>
    </xf>
    <xf numFmtId="0" fontId="9" fillId="0" borderId="9" xfId="0" applyFont="1" applyBorder="1" applyAlignment="1">
      <alignment horizontal="center"/>
    </xf>
    <xf numFmtId="164" fontId="0" fillId="0" borderId="9" xfId="0" applyNumberFormat="1" applyBorder="1"/>
    <xf numFmtId="164" fontId="0" fillId="0" borderId="10" xfId="0" applyNumberFormat="1" applyBorder="1"/>
    <xf numFmtId="0" fontId="9" fillId="0" borderId="10" xfId="0" applyFont="1" applyBorder="1" applyAlignment="1">
      <alignment horizontal="left"/>
    </xf>
    <xf numFmtId="0" fontId="0" fillId="0" borderId="14" xfId="0" applyBorder="1" applyAlignment="1">
      <alignment horizontal="center"/>
    </xf>
    <xf numFmtId="164" fontId="9" fillId="0" borderId="10" xfId="0" applyNumberFormat="1" applyFont="1" applyBorder="1"/>
    <xf numFmtId="164" fontId="9" fillId="0" borderId="15" xfId="0" applyNumberFormat="1" applyFont="1" applyBorder="1"/>
    <xf numFmtId="164" fontId="9" fillId="0" borderId="0" xfId="0" applyNumberFormat="1" applyFont="1" applyBorder="1"/>
    <xf numFmtId="164" fontId="9" fillId="0" borderId="0" xfId="0" applyNumberFormat="1" applyFont="1" applyFill="1" applyBorder="1"/>
    <xf numFmtId="164" fontId="9" fillId="0" borderId="9" xfId="0" applyNumberFormat="1" applyFont="1" applyBorder="1"/>
    <xf numFmtId="164" fontId="9" fillId="0" borderId="14" xfId="0" applyNumberFormat="1" applyFont="1" applyBorder="1"/>
    <xf numFmtId="164" fontId="9" fillId="0" borderId="12" xfId="0" applyNumberFormat="1" applyFont="1" applyBorder="1"/>
    <xf numFmtId="164" fontId="0" fillId="0" borderId="12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wrapText="1"/>
    </xf>
    <xf numFmtId="164" fontId="0" fillId="0" borderId="10" xfId="0" applyNumberFormat="1" applyBorder="1" applyAlignment="1">
      <alignment wrapText="1"/>
    </xf>
    <xf numFmtId="164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164" fontId="9" fillId="0" borderId="9" xfId="0" applyNumberFormat="1" applyFont="1" applyBorder="1" applyAlignment="1">
      <alignment horizontal="left"/>
    </xf>
    <xf numFmtId="164" fontId="9" fillId="0" borderId="14" xfId="0" applyNumberFormat="1" applyFon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5" xfId="0" applyNumberFormat="1" applyBorder="1" applyAlignment="1">
      <alignment wrapText="1"/>
    </xf>
    <xf numFmtId="164" fontId="0" fillId="0" borderId="33" xfId="0" applyNumberFormat="1" applyBorder="1" applyAlignment="1">
      <alignment wrapText="1"/>
    </xf>
    <xf numFmtId="164" fontId="0" fillId="0" borderId="33" xfId="0" applyNumberFormat="1" applyBorder="1"/>
    <xf numFmtId="164" fontId="9" fillId="0" borderId="34" xfId="0" applyNumberFormat="1" applyFont="1" applyBorder="1"/>
    <xf numFmtId="164" fontId="9" fillId="0" borderId="35" xfId="0" applyNumberFormat="1" applyFont="1" applyBorder="1" applyAlignment="1">
      <alignment horizontal="right"/>
    </xf>
    <xf numFmtId="164" fontId="9" fillId="0" borderId="33" xfId="0" applyNumberFormat="1" applyFont="1" applyBorder="1"/>
    <xf numFmtId="164" fontId="9" fillId="0" borderId="33" xfId="0" applyNumberFormat="1" applyFont="1" applyBorder="1" applyAlignment="1">
      <alignment horizontal="right"/>
    </xf>
    <xf numFmtId="164" fontId="9" fillId="0" borderId="36" xfId="0" applyNumberFormat="1" applyFont="1" applyBorder="1" applyAlignment="1">
      <alignment horizontal="right"/>
    </xf>
    <xf numFmtId="0" fontId="9" fillId="0" borderId="32" xfId="0" applyFont="1" applyBorder="1" applyAlignment="1">
      <alignment horizontal="center"/>
    </xf>
    <xf numFmtId="164" fontId="0" fillId="0" borderId="29" xfId="0" applyNumberFormat="1" applyBorder="1" applyAlignment="1">
      <alignment wrapText="1"/>
    </xf>
    <xf numFmtId="164" fontId="4" fillId="5" borderId="21" xfId="0" applyNumberFormat="1" applyFont="1" applyFill="1" applyBorder="1"/>
    <xf numFmtId="164" fontId="4" fillId="5" borderId="20" xfId="0" applyNumberFormat="1" applyFont="1" applyFill="1" applyBorder="1"/>
    <xf numFmtId="0" fontId="9" fillId="5" borderId="21" xfId="0" applyFont="1" applyFill="1" applyBorder="1"/>
    <xf numFmtId="164" fontId="4" fillId="0" borderId="21" xfId="0" applyNumberFormat="1" applyFont="1" applyBorder="1"/>
    <xf numFmtId="164" fontId="9" fillId="0" borderId="37" xfId="0" applyNumberFormat="1" applyFont="1" applyBorder="1"/>
    <xf numFmtId="164" fontId="9" fillId="0" borderId="38" xfId="0" applyNumberFormat="1" applyFont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9" fillId="0" borderId="0" xfId="0" applyFont="1" applyAlignment="1">
      <alignment horizontal="left"/>
    </xf>
    <xf numFmtId="164" fontId="0" fillId="0" borderId="6" xfId="0" applyNumberFormat="1" applyBorder="1" applyAlignment="1">
      <alignment wrapText="1"/>
    </xf>
    <xf numFmtId="164" fontId="0" fillId="0" borderId="39" xfId="0" applyNumberFormat="1" applyBorder="1" applyAlignment="1">
      <alignment wrapText="1"/>
    </xf>
    <xf numFmtId="164" fontId="0" fillId="0" borderId="40" xfId="0" applyNumberFormat="1" applyBorder="1"/>
    <xf numFmtId="164" fontId="9" fillId="0" borderId="39" xfId="0" applyNumberFormat="1" applyFont="1" applyBorder="1"/>
    <xf numFmtId="164" fontId="9" fillId="0" borderId="40" xfId="0" applyNumberFormat="1" applyFont="1" applyBorder="1" applyAlignment="1">
      <alignment horizontal="right"/>
    </xf>
    <xf numFmtId="164" fontId="0" fillId="0" borderId="28" xfId="0" applyNumberForma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quotePrefix="1" applyNumberFormat="1" applyFont="1" applyBorder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3" fontId="0" fillId="0" borderId="0" xfId="0" applyNumberFormat="1"/>
    <xf numFmtId="3" fontId="2" fillId="0" borderId="1" xfId="0" applyNumberFormat="1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horizontal="center" wrapText="1"/>
    </xf>
    <xf numFmtId="2" fontId="0" fillId="0" borderId="0" xfId="0" applyNumberFormat="1"/>
    <xf numFmtId="2" fontId="2" fillId="0" borderId="2" xfId="0" quotePrefix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2" fontId="1" fillId="4" borderId="1" xfId="0" applyNumberFormat="1" applyFont="1" applyFill="1" applyBorder="1"/>
    <xf numFmtId="2" fontId="1" fillId="2" borderId="1" xfId="0" applyNumberFormat="1" applyFont="1" applyFill="1" applyBorder="1"/>
    <xf numFmtId="3" fontId="2" fillId="0" borderId="1" xfId="0" quotePrefix="1" applyNumberFormat="1" applyFont="1" applyBorder="1" applyAlignment="1">
      <alignment horizontal="center"/>
    </xf>
    <xf numFmtId="3" fontId="2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5" borderId="42" xfId="0" applyFont="1" applyFill="1" applyBorder="1" applyAlignment="1">
      <alignment horizontal="left"/>
    </xf>
    <xf numFmtId="3" fontId="8" fillId="5" borderId="0" xfId="0" quotePrefix="1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164" fontId="1" fillId="7" borderId="1" xfId="0" applyNumberFormat="1" applyFont="1" applyFill="1" applyBorder="1"/>
    <xf numFmtId="0" fontId="0" fillId="0" borderId="15" xfId="0" applyBorder="1" applyAlignment="1">
      <alignment wrapText="1"/>
    </xf>
    <xf numFmtId="0" fontId="5" fillId="0" borderId="43" xfId="0" applyFont="1" applyBorder="1" applyAlignment="1">
      <alignment wrapText="1"/>
    </xf>
    <xf numFmtId="0" fontId="0" fillId="0" borderId="38" xfId="0" applyBorder="1"/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right" wrapText="1"/>
    </xf>
    <xf numFmtId="164" fontId="1" fillId="5" borderId="1" xfId="0" applyNumberFormat="1" applyFont="1" applyFill="1" applyBorder="1"/>
    <xf numFmtId="164" fontId="1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164" fontId="4" fillId="5" borderId="1" xfId="0" applyNumberFormat="1" applyFont="1" applyFill="1" applyBorder="1"/>
    <xf numFmtId="0" fontId="9" fillId="5" borderId="1" xfId="0" applyFont="1" applyFill="1" applyBorder="1"/>
    <xf numFmtId="164" fontId="4" fillId="0" borderId="1" xfId="0" applyNumberFormat="1" applyFont="1" applyBorder="1"/>
    <xf numFmtId="164" fontId="7" fillId="0" borderId="1" xfId="0" applyNumberFormat="1" applyFont="1" applyBorder="1"/>
    <xf numFmtId="164" fontId="14" fillId="0" borderId="1" xfId="0" applyNumberFormat="1" applyFont="1" applyBorder="1"/>
    <xf numFmtId="164" fontId="14" fillId="3" borderId="1" xfId="0" applyNumberFormat="1" applyFont="1" applyFill="1" applyBorder="1"/>
    <xf numFmtId="164" fontId="14" fillId="4" borderId="1" xfId="0" applyNumberFormat="1" applyFont="1" applyFill="1" applyBorder="1"/>
    <xf numFmtId="0" fontId="14" fillId="2" borderId="1" xfId="0" applyFont="1" applyFill="1" applyBorder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wrapText="1"/>
    </xf>
    <xf numFmtId="2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2" fontId="1" fillId="6" borderId="1" xfId="0" applyNumberFormat="1" applyFont="1" applyFill="1" applyBorder="1"/>
    <xf numFmtId="2" fontId="1" fillId="5" borderId="1" xfId="0" applyNumberFormat="1" applyFont="1" applyFill="1" applyBorder="1"/>
    <xf numFmtId="0" fontId="8" fillId="0" borderId="0" xfId="0" applyFont="1" applyAlignment="1">
      <alignment horizontal="center" wrapText="1"/>
    </xf>
    <xf numFmtId="3" fontId="8" fillId="0" borderId="0" xfId="0" applyNumberFormat="1" applyFont="1"/>
    <xf numFmtId="0" fontId="8" fillId="0" borderId="0" xfId="0" applyFont="1"/>
    <xf numFmtId="3" fontId="8" fillId="0" borderId="9" xfId="0" applyNumberFormat="1" applyFont="1" applyBorder="1"/>
    <xf numFmtId="0" fontId="8" fillId="0" borderId="10" xfId="0" applyFont="1" applyBorder="1"/>
    <xf numFmtId="3" fontId="8" fillId="0" borderId="14" xfId="0" applyNumberFormat="1" applyFont="1" applyBorder="1"/>
    <xf numFmtId="0" fontId="8" fillId="0" borderId="15" xfId="0" applyFont="1" applyBorder="1"/>
    <xf numFmtId="0" fontId="2" fillId="2" borderId="1" xfId="0" applyFont="1" applyFill="1" applyBorder="1" applyAlignment="1">
      <alignment horizontal="left"/>
    </xf>
    <xf numFmtId="165" fontId="8" fillId="0" borderId="0" xfId="0" applyNumberFormat="1" applyFont="1"/>
    <xf numFmtId="0" fontId="2" fillId="0" borderId="1" xfId="0" applyFont="1" applyBorder="1"/>
    <xf numFmtId="164" fontId="9" fillId="0" borderId="44" xfId="0" applyNumberFormat="1" applyFont="1" applyBorder="1"/>
    <xf numFmtId="164" fontId="9" fillId="0" borderId="44" xfId="0" applyNumberFormat="1" applyFont="1" applyBorder="1" applyAlignment="1">
      <alignment horizontal="right"/>
    </xf>
    <xf numFmtId="164" fontId="0" fillId="0" borderId="11" xfId="0" applyNumberFormat="1" applyBorder="1"/>
    <xf numFmtId="164" fontId="9" fillId="0" borderId="13" xfId="0" applyNumberFormat="1" applyFont="1" applyFill="1" applyBorder="1"/>
    <xf numFmtId="164" fontId="9" fillId="0" borderId="12" xfId="0" applyNumberFormat="1" applyFont="1" applyBorder="1" applyAlignment="1">
      <alignment horizontal="left"/>
    </xf>
    <xf numFmtId="164" fontId="9" fillId="0" borderId="30" xfId="0" applyNumberFormat="1" applyFont="1" applyBorder="1" applyAlignment="1">
      <alignment horizontal="right"/>
    </xf>
    <xf numFmtId="164" fontId="9" fillId="0" borderId="32" xfId="0" applyNumberFormat="1" applyFont="1" applyBorder="1" applyAlignment="1">
      <alignment horizontal="right"/>
    </xf>
    <xf numFmtId="164" fontId="0" fillId="0" borderId="10" xfId="0" applyNumberFormat="1" applyFill="1" applyBorder="1"/>
    <xf numFmtId="164" fontId="9" fillId="0" borderId="37" xfId="0" applyNumberFormat="1" applyFont="1" applyBorder="1" applyAlignment="1">
      <alignment horizontal="right"/>
    </xf>
    <xf numFmtId="164" fontId="0" fillId="0" borderId="15" xfId="0" applyNumberFormat="1" applyFill="1" applyBorder="1"/>
    <xf numFmtId="0" fontId="9" fillId="5" borderId="25" xfId="0" applyFont="1" applyFill="1" applyBorder="1" applyAlignment="1">
      <alignment horizontal="center" wrapText="1"/>
    </xf>
    <xf numFmtId="164" fontId="0" fillId="0" borderId="30" xfId="0" applyNumberFormat="1" applyBorder="1" applyAlignment="1">
      <alignment wrapText="1"/>
    </xf>
    <xf numFmtId="164" fontId="0" fillId="0" borderId="31" xfId="0" applyNumberFormat="1" applyBorder="1" applyAlignment="1">
      <alignment wrapText="1"/>
    </xf>
    <xf numFmtId="164" fontId="0" fillId="0" borderId="32" xfId="0" applyNumberFormat="1" applyBorder="1"/>
    <xf numFmtId="164" fontId="0" fillId="0" borderId="1" xfId="0" applyNumberFormat="1" applyBorder="1" applyAlignment="1">
      <alignment wrapText="1"/>
    </xf>
    <xf numFmtId="0" fontId="0" fillId="0" borderId="43" xfId="0" applyBorder="1" applyAlignment="1">
      <alignment wrapText="1"/>
    </xf>
    <xf numFmtId="164" fontId="9" fillId="0" borderId="38" xfId="0" applyNumberFormat="1" applyFont="1" applyBorder="1" applyAlignment="1">
      <alignment wrapText="1"/>
    </xf>
    <xf numFmtId="0" fontId="0" fillId="8" borderId="31" xfId="0" applyFill="1" applyBorder="1" applyAlignment="1">
      <alignment horizontal="center"/>
    </xf>
    <xf numFmtId="164" fontId="0" fillId="8" borderId="0" xfId="0" applyNumberFormat="1" applyFill="1" applyBorder="1" applyAlignment="1">
      <alignment horizontal="center" wrapText="1"/>
    </xf>
    <xf numFmtId="164" fontId="0" fillId="8" borderId="0" xfId="0" applyNumberFormat="1" applyFill="1" applyBorder="1" applyAlignment="1">
      <alignment wrapText="1"/>
    </xf>
    <xf numFmtId="164" fontId="0" fillId="8" borderId="29" xfId="0" applyNumberFormat="1" applyFill="1" applyBorder="1" applyAlignment="1">
      <alignment wrapText="1"/>
    </xf>
    <xf numFmtId="164" fontId="0" fillId="8" borderId="12" xfId="0" applyNumberFormat="1" applyFill="1" applyBorder="1" applyAlignment="1">
      <alignment horizontal="center" wrapText="1"/>
    </xf>
    <xf numFmtId="164" fontId="0" fillId="8" borderId="31" xfId="0" applyNumberForma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41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60960</xdr:rowOff>
    </xdr:from>
    <xdr:to>
      <xdr:col>4</xdr:col>
      <xdr:colOff>259079</xdr:colOff>
      <xdr:row>48</xdr:row>
      <xdr:rowOff>99060</xdr:rowOff>
    </xdr:to>
    <xdr:grpSp>
      <xdr:nvGrpSpPr>
        <xdr:cNvPr id="2" name="Group 1"/>
        <xdr:cNvGrpSpPr/>
      </xdr:nvGrpSpPr>
      <xdr:grpSpPr>
        <a:xfrm>
          <a:off x="0" y="10170160"/>
          <a:ext cx="4128346" cy="2459567"/>
          <a:chOff x="7691238" y="617220"/>
          <a:chExt cx="3789446" cy="2476500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66244" y="800100"/>
            <a:ext cx="3414440" cy="22936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4" name="Circular Arrow 3"/>
          <xdr:cNvSpPr/>
        </xdr:nvSpPr>
        <xdr:spPr>
          <a:xfrm>
            <a:off x="8138160" y="617220"/>
            <a:ext cx="2171700" cy="1638300"/>
          </a:xfrm>
          <a:prstGeom prst="circularArrow">
            <a:avLst>
              <a:gd name="adj1" fmla="val 4470"/>
              <a:gd name="adj2" fmla="val 585415"/>
              <a:gd name="adj3" fmla="val 20560801"/>
              <a:gd name="adj4" fmla="val 10800000"/>
              <a:gd name="adj5" fmla="val 8839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TextBox 4"/>
          <xdr:cNvSpPr txBox="1"/>
        </xdr:nvSpPr>
        <xdr:spPr>
          <a:xfrm>
            <a:off x="10180320" y="746760"/>
            <a:ext cx="481991" cy="311496"/>
          </a:xfrm>
          <a:prstGeom prst="rect">
            <a:avLst/>
          </a:prstGeom>
          <a:solidFill>
            <a:srgbClr val="FFFF00"/>
          </a:solidFill>
          <a:ln>
            <a:solidFill>
              <a:schemeClr val="accen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+UP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7691238" y="1684790"/>
            <a:ext cx="779059" cy="311496"/>
          </a:xfrm>
          <a:prstGeom prst="rect">
            <a:avLst/>
          </a:prstGeom>
          <a:solidFill>
            <a:srgbClr val="FFFF00"/>
          </a:solidFill>
          <a:ln>
            <a:solidFill>
              <a:schemeClr val="accen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−DOWN</a:t>
            </a:r>
          </a:p>
        </xdr:txBody>
      </xdr:sp>
      <xdr:sp macro="" textlink="">
        <xdr:nvSpPr>
          <xdr:cNvPr id="7" name="Circular Arrow 6"/>
          <xdr:cNvSpPr/>
        </xdr:nvSpPr>
        <xdr:spPr>
          <a:xfrm rot="20828041" flipH="1">
            <a:off x="8138160" y="670561"/>
            <a:ext cx="1531620" cy="1531620"/>
          </a:xfrm>
          <a:prstGeom prst="circularArrow">
            <a:avLst>
              <a:gd name="adj1" fmla="val 4600"/>
              <a:gd name="adj2" fmla="val 1009753"/>
              <a:gd name="adj3" fmla="val 20501125"/>
              <a:gd name="adj4" fmla="val 19146052"/>
              <a:gd name="adj5" fmla="val 9760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0</xdr:col>
      <xdr:colOff>533400</xdr:colOff>
      <xdr:row>46</xdr:row>
      <xdr:rowOff>53340</xdr:rowOff>
    </xdr:from>
    <xdr:ext cx="1804468" cy="311496"/>
    <xdr:sp macro="" textlink="">
      <xdr:nvSpPr>
        <xdr:cNvPr id="8" name="TextBox 7"/>
        <xdr:cNvSpPr txBox="1"/>
      </xdr:nvSpPr>
      <xdr:spPr>
        <a:xfrm>
          <a:off x="0" y="10370820"/>
          <a:ext cx="1804468" cy="3114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Upper</a:t>
          </a:r>
          <a:r>
            <a:rPr lang="en-US" sz="1400"/>
            <a:t> E-Rack position</a:t>
          </a:r>
        </a:p>
      </xdr:txBody>
    </xdr:sp>
    <xdr:clientData/>
  </xdr:oneCellAnchor>
  <xdr:twoCellAnchor editAs="oneCell">
    <xdr:from>
      <xdr:col>4</xdr:col>
      <xdr:colOff>327660</xdr:colOff>
      <xdr:row>35</xdr:row>
      <xdr:rowOff>106680</xdr:rowOff>
    </xdr:from>
    <xdr:to>
      <xdr:col>8</xdr:col>
      <xdr:colOff>135161</xdr:colOff>
      <xdr:row>48</xdr:row>
      <xdr:rowOff>14543</xdr:rowOff>
    </xdr:to>
    <xdr:pic>
      <xdr:nvPicPr>
        <xdr:cNvPr id="9" name="Content Placeholder 3" descr="Screen Clipping"/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8412480"/>
          <a:ext cx="3244121" cy="2285303"/>
        </a:xfrm>
        <a:prstGeom prst="rect">
          <a:avLst/>
        </a:prstGeom>
      </xdr:spPr>
    </xdr:pic>
    <xdr:clientData/>
  </xdr:twoCellAnchor>
  <xdr:twoCellAnchor editAs="oneCell">
    <xdr:from>
      <xdr:col>7</xdr:col>
      <xdr:colOff>769620</xdr:colOff>
      <xdr:row>35</xdr:row>
      <xdr:rowOff>74322</xdr:rowOff>
    </xdr:from>
    <xdr:to>
      <xdr:col>12</xdr:col>
      <xdr:colOff>373380</xdr:colOff>
      <xdr:row>47</xdr:row>
      <xdr:rowOff>119063</xdr:rowOff>
    </xdr:to>
    <xdr:pic>
      <xdr:nvPicPr>
        <xdr:cNvPr id="10" name="Picture 9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8380122"/>
          <a:ext cx="3566160" cy="2239301"/>
        </a:xfrm>
        <a:prstGeom prst="rect">
          <a:avLst/>
        </a:prstGeom>
      </xdr:spPr>
    </xdr:pic>
    <xdr:clientData/>
  </xdr:twoCellAnchor>
  <xdr:oneCellAnchor>
    <xdr:from>
      <xdr:col>4</xdr:col>
      <xdr:colOff>304800</xdr:colOff>
      <xdr:row>46</xdr:row>
      <xdr:rowOff>0</xdr:rowOff>
    </xdr:from>
    <xdr:ext cx="1868588" cy="311496"/>
    <xdr:sp macro="" textlink="">
      <xdr:nvSpPr>
        <xdr:cNvPr id="11" name="TextBox 10"/>
        <xdr:cNvSpPr txBox="1"/>
      </xdr:nvSpPr>
      <xdr:spPr>
        <a:xfrm>
          <a:off x="3520440" y="10317480"/>
          <a:ext cx="1868588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Middle</a:t>
          </a:r>
          <a:r>
            <a:rPr lang="en-US" sz="1400"/>
            <a:t> E-Rack position</a:t>
          </a:r>
        </a:p>
      </xdr:txBody>
    </xdr:sp>
    <xdr:clientData/>
  </xdr:oneCellAnchor>
  <xdr:oneCellAnchor>
    <xdr:from>
      <xdr:col>14</xdr:col>
      <xdr:colOff>30480</xdr:colOff>
      <xdr:row>45</xdr:row>
      <xdr:rowOff>160020</xdr:rowOff>
    </xdr:from>
    <xdr:ext cx="1800686" cy="311496"/>
    <xdr:sp macro="" textlink="">
      <xdr:nvSpPr>
        <xdr:cNvPr id="12" name="TextBox 11"/>
        <xdr:cNvSpPr txBox="1"/>
      </xdr:nvSpPr>
      <xdr:spPr>
        <a:xfrm>
          <a:off x="8724900" y="10294620"/>
          <a:ext cx="1800686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Lower</a:t>
          </a:r>
          <a:r>
            <a:rPr lang="en-US" sz="1400"/>
            <a:t> E-Rack position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60960</xdr:rowOff>
    </xdr:from>
    <xdr:to>
      <xdr:col>3</xdr:col>
      <xdr:colOff>259079</xdr:colOff>
      <xdr:row>42</xdr:row>
      <xdr:rowOff>99060</xdr:rowOff>
    </xdr:to>
    <xdr:grpSp>
      <xdr:nvGrpSpPr>
        <xdr:cNvPr id="2" name="Group 1"/>
        <xdr:cNvGrpSpPr/>
      </xdr:nvGrpSpPr>
      <xdr:grpSpPr>
        <a:xfrm>
          <a:off x="0" y="8366760"/>
          <a:ext cx="3474719" cy="2415540"/>
          <a:chOff x="7691238" y="617220"/>
          <a:chExt cx="3789446" cy="2476500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66244" y="800100"/>
            <a:ext cx="3414440" cy="22936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4" name="Circular Arrow 3"/>
          <xdr:cNvSpPr/>
        </xdr:nvSpPr>
        <xdr:spPr>
          <a:xfrm>
            <a:off x="8138160" y="617220"/>
            <a:ext cx="2171700" cy="1638300"/>
          </a:xfrm>
          <a:prstGeom prst="circularArrow">
            <a:avLst>
              <a:gd name="adj1" fmla="val 4470"/>
              <a:gd name="adj2" fmla="val 585415"/>
              <a:gd name="adj3" fmla="val 20560801"/>
              <a:gd name="adj4" fmla="val 10800000"/>
              <a:gd name="adj5" fmla="val 8839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TextBox 4"/>
          <xdr:cNvSpPr txBox="1"/>
        </xdr:nvSpPr>
        <xdr:spPr>
          <a:xfrm>
            <a:off x="10180320" y="746760"/>
            <a:ext cx="481991" cy="311496"/>
          </a:xfrm>
          <a:prstGeom prst="rect">
            <a:avLst/>
          </a:prstGeom>
          <a:solidFill>
            <a:srgbClr val="FFFF00"/>
          </a:solidFill>
          <a:ln>
            <a:solidFill>
              <a:schemeClr val="accen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+UP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7691238" y="1684790"/>
            <a:ext cx="779059" cy="311496"/>
          </a:xfrm>
          <a:prstGeom prst="rect">
            <a:avLst/>
          </a:prstGeom>
          <a:solidFill>
            <a:srgbClr val="FFFF00"/>
          </a:solidFill>
          <a:ln>
            <a:solidFill>
              <a:schemeClr val="accen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−DOWN</a:t>
            </a:r>
          </a:p>
        </xdr:txBody>
      </xdr:sp>
      <xdr:sp macro="" textlink="">
        <xdr:nvSpPr>
          <xdr:cNvPr id="7" name="Circular Arrow 6"/>
          <xdr:cNvSpPr/>
        </xdr:nvSpPr>
        <xdr:spPr>
          <a:xfrm rot="20828041" flipH="1">
            <a:off x="8138160" y="670561"/>
            <a:ext cx="1531620" cy="1531620"/>
          </a:xfrm>
          <a:prstGeom prst="circularArrow">
            <a:avLst>
              <a:gd name="adj1" fmla="val 4600"/>
              <a:gd name="adj2" fmla="val 1009753"/>
              <a:gd name="adj3" fmla="val 20501125"/>
              <a:gd name="adj4" fmla="val 19146052"/>
              <a:gd name="adj5" fmla="val 9760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0</xdr:col>
      <xdr:colOff>533400</xdr:colOff>
      <xdr:row>40</xdr:row>
      <xdr:rowOff>53340</xdr:rowOff>
    </xdr:from>
    <xdr:ext cx="1804468" cy="311496"/>
    <xdr:sp macro="" textlink="">
      <xdr:nvSpPr>
        <xdr:cNvPr id="8" name="TextBox 7"/>
        <xdr:cNvSpPr txBox="1"/>
      </xdr:nvSpPr>
      <xdr:spPr>
        <a:xfrm>
          <a:off x="0" y="12512040"/>
          <a:ext cx="1804468" cy="3114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Upper</a:t>
          </a:r>
          <a:r>
            <a:rPr lang="en-US" sz="1400"/>
            <a:t> E-Rack position</a:t>
          </a:r>
        </a:p>
      </xdr:txBody>
    </xdr:sp>
    <xdr:clientData/>
  </xdr:oneCellAnchor>
  <xdr:twoCellAnchor editAs="oneCell">
    <xdr:from>
      <xdr:col>3</xdr:col>
      <xdr:colOff>327660</xdr:colOff>
      <xdr:row>29</xdr:row>
      <xdr:rowOff>106680</xdr:rowOff>
    </xdr:from>
    <xdr:to>
      <xdr:col>6</xdr:col>
      <xdr:colOff>836201</xdr:colOff>
      <xdr:row>42</xdr:row>
      <xdr:rowOff>14543</xdr:rowOff>
    </xdr:to>
    <xdr:pic>
      <xdr:nvPicPr>
        <xdr:cNvPr id="9" name="Content Placeholder 3" descr="Screen Clipping"/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10553700"/>
          <a:ext cx="3244121" cy="2285303"/>
        </a:xfrm>
        <a:prstGeom prst="rect">
          <a:avLst/>
        </a:prstGeom>
      </xdr:spPr>
    </xdr:pic>
    <xdr:clientData/>
  </xdr:twoCellAnchor>
  <xdr:twoCellAnchor editAs="oneCell">
    <xdr:from>
      <xdr:col>6</xdr:col>
      <xdr:colOff>769620</xdr:colOff>
      <xdr:row>29</xdr:row>
      <xdr:rowOff>74322</xdr:rowOff>
    </xdr:from>
    <xdr:to>
      <xdr:col>10</xdr:col>
      <xdr:colOff>624840</xdr:colOff>
      <xdr:row>41</xdr:row>
      <xdr:rowOff>119063</xdr:rowOff>
    </xdr:to>
    <xdr:pic>
      <xdr:nvPicPr>
        <xdr:cNvPr id="10" name="Picture 9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0521342"/>
          <a:ext cx="3566160" cy="2239301"/>
        </a:xfrm>
        <a:prstGeom prst="rect">
          <a:avLst/>
        </a:prstGeom>
      </xdr:spPr>
    </xdr:pic>
    <xdr:clientData/>
  </xdr:twoCellAnchor>
  <xdr:oneCellAnchor>
    <xdr:from>
      <xdr:col>3</xdr:col>
      <xdr:colOff>304800</xdr:colOff>
      <xdr:row>40</xdr:row>
      <xdr:rowOff>0</xdr:rowOff>
    </xdr:from>
    <xdr:ext cx="1868588" cy="311496"/>
    <xdr:sp macro="" textlink="">
      <xdr:nvSpPr>
        <xdr:cNvPr id="11" name="TextBox 10"/>
        <xdr:cNvSpPr txBox="1"/>
      </xdr:nvSpPr>
      <xdr:spPr>
        <a:xfrm>
          <a:off x="3512820" y="12458700"/>
          <a:ext cx="1868588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Middle</a:t>
          </a:r>
          <a:r>
            <a:rPr lang="en-US" sz="1400"/>
            <a:t> E-Rack position</a:t>
          </a:r>
        </a:p>
      </xdr:txBody>
    </xdr:sp>
    <xdr:clientData/>
  </xdr:oneCellAnchor>
  <xdr:oneCellAnchor>
    <xdr:from>
      <xdr:col>9</xdr:col>
      <xdr:colOff>30480</xdr:colOff>
      <xdr:row>39</xdr:row>
      <xdr:rowOff>160020</xdr:rowOff>
    </xdr:from>
    <xdr:ext cx="1800686" cy="311496"/>
    <xdr:sp macro="" textlink="">
      <xdr:nvSpPr>
        <xdr:cNvPr id="12" name="TextBox 11"/>
        <xdr:cNvSpPr txBox="1"/>
      </xdr:nvSpPr>
      <xdr:spPr>
        <a:xfrm>
          <a:off x="6827520" y="12435840"/>
          <a:ext cx="1800686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Lower</a:t>
          </a:r>
          <a:r>
            <a:rPr lang="en-US" sz="1400"/>
            <a:t> E-Rack position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434340</xdr:colOff>
      <xdr:row>21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9921240" y="3383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11</xdr:col>
      <xdr:colOff>595050</xdr:colOff>
      <xdr:row>22</xdr:row>
      <xdr:rowOff>170587</xdr:rowOff>
    </xdr:from>
    <xdr:to>
      <xdr:col>19</xdr:col>
      <xdr:colOff>137157</xdr:colOff>
      <xdr:row>36</xdr:row>
      <xdr:rowOff>68580</xdr:rowOff>
    </xdr:to>
    <xdr:grpSp>
      <xdr:nvGrpSpPr>
        <xdr:cNvPr id="20" name="Group 19"/>
        <xdr:cNvGrpSpPr/>
      </xdr:nvGrpSpPr>
      <xdr:grpSpPr>
        <a:xfrm>
          <a:off x="8382690" y="4605427"/>
          <a:ext cx="4418907" cy="3319373"/>
          <a:chOff x="7633854" y="3868809"/>
          <a:chExt cx="4278101" cy="2976661"/>
        </a:xfrm>
      </xdr:grpSpPr>
      <xdr:sp macro="" textlink="">
        <xdr:nvSpPr>
          <xdr:cNvPr id="2" name="Oval 1"/>
          <xdr:cNvSpPr/>
        </xdr:nvSpPr>
        <xdr:spPr>
          <a:xfrm>
            <a:off x="8067502" y="3989416"/>
            <a:ext cx="2918460" cy="2736966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11483633" y="5236266"/>
            <a:ext cx="4283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East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8316191" y="6569133"/>
            <a:ext cx="4904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Pos 4</a:t>
            </a:r>
          </a:p>
        </xdr:txBody>
      </xdr:sp>
      <xdr:cxnSp macro="">
        <xdr:nvCxnSpPr>
          <xdr:cNvPr id="11" name="Straight Arrow Connector 10"/>
          <xdr:cNvCxnSpPr/>
        </xdr:nvCxnSpPr>
        <xdr:spPr>
          <a:xfrm flipV="1">
            <a:off x="9507682" y="4012320"/>
            <a:ext cx="779300" cy="139511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/>
          <xdr:cNvSpPr txBox="1"/>
        </xdr:nvSpPr>
        <xdr:spPr>
          <a:xfrm>
            <a:off x="9538162" y="4829002"/>
            <a:ext cx="46083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R36"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8357672" y="3881135"/>
            <a:ext cx="4904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Pos 6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0251285" y="3868809"/>
            <a:ext cx="474827" cy="2372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Pos 1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7633854" y="5888181"/>
            <a:ext cx="4904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Pos 5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0903527" y="5915891"/>
            <a:ext cx="4904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Pos 2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0113818" y="6580910"/>
            <a:ext cx="4904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Pos 3</a:t>
            </a:r>
          </a:p>
        </xdr:txBody>
      </xdr:sp>
    </xdr:grpSp>
    <xdr:clientData/>
  </xdr:twoCellAnchor>
  <xdr:oneCellAnchor>
    <xdr:from>
      <xdr:col>14</xdr:col>
      <xdr:colOff>346364</xdr:colOff>
      <xdr:row>21</xdr:row>
      <xdr:rowOff>51955</xdr:rowOff>
    </xdr:from>
    <xdr:ext cx="528222" cy="264560"/>
    <xdr:sp macro="" textlink="">
      <xdr:nvSpPr>
        <xdr:cNvPr id="21" name="TextBox 20"/>
        <xdr:cNvSpPr txBox="1"/>
      </xdr:nvSpPr>
      <xdr:spPr>
        <a:xfrm>
          <a:off x="9962804" y="4296295"/>
          <a:ext cx="5282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North</a:t>
          </a:r>
        </a:p>
      </xdr:txBody>
    </xdr:sp>
    <xdr:clientData/>
  </xdr:oneCellAnchor>
  <xdr:oneCellAnchor>
    <xdr:from>
      <xdr:col>14</xdr:col>
      <xdr:colOff>434340</xdr:colOff>
      <xdr:row>47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10050780" y="4244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17</xdr:col>
      <xdr:colOff>99060</xdr:colOff>
      <xdr:row>23</xdr:row>
      <xdr:rowOff>419100</xdr:rowOff>
    </xdr:from>
    <xdr:to>
      <xdr:col>18</xdr:col>
      <xdr:colOff>48780</xdr:colOff>
      <xdr:row>24</xdr:row>
      <xdr:rowOff>127400</xdr:rowOff>
    </xdr:to>
    <xdr:sp macro="" textlink="">
      <xdr:nvSpPr>
        <xdr:cNvPr id="23" name="TextBox 22"/>
        <xdr:cNvSpPr txBox="1"/>
      </xdr:nvSpPr>
      <xdr:spPr>
        <a:xfrm>
          <a:off x="11544300" y="5250180"/>
          <a:ext cx="559320" cy="26456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Pos 1E</a:t>
          </a:r>
        </a:p>
      </xdr:txBody>
    </xdr:sp>
    <xdr:clientData/>
  </xdr:twoCellAnchor>
  <xdr:twoCellAnchor>
    <xdr:from>
      <xdr:col>17</xdr:col>
      <xdr:colOff>358140</xdr:colOff>
      <xdr:row>27</xdr:row>
      <xdr:rowOff>144780</xdr:rowOff>
    </xdr:from>
    <xdr:to>
      <xdr:col>18</xdr:col>
      <xdr:colOff>307860</xdr:colOff>
      <xdr:row>28</xdr:row>
      <xdr:rowOff>203600</xdr:rowOff>
    </xdr:to>
    <xdr:sp macro="" textlink="">
      <xdr:nvSpPr>
        <xdr:cNvPr id="35" name="TextBox 34"/>
        <xdr:cNvSpPr txBox="1"/>
      </xdr:nvSpPr>
      <xdr:spPr>
        <a:xfrm>
          <a:off x="11803380" y="6149340"/>
          <a:ext cx="559320" cy="26456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Pos 2E</a:t>
          </a:r>
        </a:p>
      </xdr:txBody>
    </xdr:sp>
    <xdr:clientData/>
  </xdr:twoCellAnchor>
  <xdr:oneCellAnchor>
    <xdr:from>
      <xdr:col>18</xdr:col>
      <xdr:colOff>106680</xdr:colOff>
      <xdr:row>20</xdr:row>
      <xdr:rowOff>129540</xdr:rowOff>
    </xdr:from>
    <xdr:ext cx="1552413" cy="843693"/>
    <xdr:sp macro="" textlink="">
      <xdr:nvSpPr>
        <xdr:cNvPr id="3" name="TextBox 2"/>
        <xdr:cNvSpPr txBox="1"/>
      </xdr:nvSpPr>
      <xdr:spPr>
        <a:xfrm>
          <a:off x="12161520" y="4191000"/>
          <a:ext cx="1552413" cy="8436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New proposed </a:t>
          </a:r>
        </a:p>
        <a:p>
          <a:r>
            <a:rPr lang="en-US" sz="1600"/>
            <a:t>weight locations</a:t>
          </a:r>
        </a:p>
        <a:p>
          <a:r>
            <a:rPr lang="en-US" sz="1600"/>
            <a:t>ref: dwg </a:t>
          </a:r>
          <a:r>
            <a:rPr lang="en-US" sz="1400"/>
            <a:t>101840</a:t>
          </a:r>
        </a:p>
      </xdr:txBody>
    </xdr:sp>
    <xdr:clientData/>
  </xdr:oneCellAnchor>
  <xdr:twoCellAnchor>
    <xdr:from>
      <xdr:col>18</xdr:col>
      <xdr:colOff>48780</xdr:colOff>
      <xdr:row>23</xdr:row>
      <xdr:rowOff>259080</xdr:rowOff>
    </xdr:from>
    <xdr:to>
      <xdr:col>18</xdr:col>
      <xdr:colOff>441960</xdr:colOff>
      <xdr:row>23</xdr:row>
      <xdr:rowOff>551380</xdr:rowOff>
    </xdr:to>
    <xdr:cxnSp macro="">
      <xdr:nvCxnSpPr>
        <xdr:cNvPr id="7" name="Straight Arrow Connector 6"/>
        <xdr:cNvCxnSpPr>
          <a:endCxn id="23" idx="3"/>
        </xdr:cNvCxnSpPr>
      </xdr:nvCxnSpPr>
      <xdr:spPr>
        <a:xfrm flipH="1">
          <a:off x="12103620" y="5090160"/>
          <a:ext cx="393180" cy="2923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307860</xdr:colOff>
      <xdr:row>23</xdr:row>
      <xdr:rowOff>289560</xdr:rowOff>
    </xdr:from>
    <xdr:to>
      <xdr:col>18</xdr:col>
      <xdr:colOff>541020</xdr:colOff>
      <xdr:row>27</xdr:row>
      <xdr:rowOff>94180</xdr:rowOff>
    </xdr:to>
    <xdr:cxnSp macro="">
      <xdr:nvCxnSpPr>
        <xdr:cNvPr id="36" name="Straight Arrow Connector 35"/>
        <xdr:cNvCxnSpPr/>
      </xdr:nvCxnSpPr>
      <xdr:spPr>
        <a:xfrm flipH="1">
          <a:off x="12362700" y="5120640"/>
          <a:ext cx="233160" cy="9781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350520</xdr:colOff>
      <xdr:row>12</xdr:row>
      <xdr:rowOff>144780</xdr:rowOff>
    </xdr:from>
    <xdr:to>
      <xdr:col>16</xdr:col>
      <xdr:colOff>220980</xdr:colOff>
      <xdr:row>28</xdr:row>
      <xdr:rowOff>0</xdr:rowOff>
    </xdr:to>
    <xdr:sp macro="" textlink="">
      <xdr:nvSpPr>
        <xdr:cNvPr id="2" name="Oval 1"/>
        <xdr:cNvSpPr/>
      </xdr:nvSpPr>
      <xdr:spPr>
        <a:xfrm>
          <a:off x="7665720" y="2156460"/>
          <a:ext cx="2918460" cy="27813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83820</xdr:colOff>
      <xdr:row>12</xdr:row>
      <xdr:rowOff>175260</xdr:rowOff>
    </xdr:from>
    <xdr:to>
      <xdr:col>15</xdr:col>
      <xdr:colOff>487680</xdr:colOff>
      <xdr:row>22</xdr:row>
      <xdr:rowOff>152400</xdr:rowOff>
    </xdr:to>
    <xdr:sp macro="" textlink="">
      <xdr:nvSpPr>
        <xdr:cNvPr id="3" name="Block Arc 2"/>
        <xdr:cNvSpPr/>
      </xdr:nvSpPr>
      <xdr:spPr>
        <a:xfrm>
          <a:off x="8008620" y="2186940"/>
          <a:ext cx="2232660" cy="1805940"/>
        </a:xfrm>
        <a:prstGeom prst="blockArc">
          <a:avLst>
            <a:gd name="adj1" fmla="val 13036215"/>
            <a:gd name="adj2" fmla="val 20419554"/>
            <a:gd name="adj3" fmla="val 878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144780</xdr:colOff>
      <xdr:row>5</xdr:row>
      <xdr:rowOff>152400</xdr:rowOff>
    </xdr:from>
    <xdr:ext cx="2171700" cy="781240"/>
    <xdr:sp macro="" textlink="">
      <xdr:nvSpPr>
        <xdr:cNvPr id="4" name="TextBox 3"/>
        <xdr:cNvSpPr txBox="1"/>
      </xdr:nvSpPr>
      <xdr:spPr>
        <a:xfrm>
          <a:off x="8679180" y="1066800"/>
          <a:ext cx="21717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North</a:t>
          </a:r>
        </a:p>
        <a:p>
          <a:r>
            <a:rPr lang="en-US" sz="1100"/>
            <a:t>19.7,</a:t>
          </a:r>
          <a:r>
            <a:rPr lang="en-US" sz="1100" baseline="0"/>
            <a:t> </a:t>
          </a:r>
          <a:r>
            <a:rPr lang="en-US" sz="1100"/>
            <a:t>19.7,</a:t>
          </a:r>
          <a:r>
            <a:rPr lang="en-US" sz="1100" baseline="0"/>
            <a:t> </a:t>
          </a:r>
          <a:r>
            <a:rPr lang="en-US" sz="1100"/>
            <a:t>30.8,</a:t>
          </a:r>
          <a:r>
            <a:rPr lang="en-US" sz="1100" baseline="0"/>
            <a:t> </a:t>
          </a:r>
          <a:r>
            <a:rPr lang="en-US" sz="1100"/>
            <a:t>22.1</a:t>
          </a:r>
        </a:p>
        <a:p>
          <a:r>
            <a:rPr lang="en-US" sz="1100"/>
            <a:t>Total=</a:t>
          </a:r>
          <a:r>
            <a:rPr lang="en-US" sz="1100" baseline="0"/>
            <a:t>  92.3 lbs</a:t>
          </a:r>
        </a:p>
        <a:p>
          <a:r>
            <a:rPr lang="en-US" sz="1100" baseline="0"/>
            <a:t>CG clocking:  30" north;  3" east;  </a:t>
          </a:r>
          <a:endParaRPr lang="en-US" sz="1100"/>
        </a:p>
      </xdr:txBody>
    </xdr:sp>
    <xdr:clientData/>
  </xdr:oneCellAnchor>
  <xdr:oneCellAnchor>
    <xdr:from>
      <xdr:col>16</xdr:col>
      <xdr:colOff>327660</xdr:colOff>
      <xdr:row>19</xdr:row>
      <xdr:rowOff>76200</xdr:rowOff>
    </xdr:from>
    <xdr:ext cx="423514" cy="264560"/>
    <xdr:sp macro="" textlink="">
      <xdr:nvSpPr>
        <xdr:cNvPr id="5" name="TextBox 4"/>
        <xdr:cNvSpPr txBox="1"/>
      </xdr:nvSpPr>
      <xdr:spPr>
        <a:xfrm>
          <a:off x="10690860" y="3368040"/>
          <a:ext cx="4235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East</a:t>
          </a:r>
        </a:p>
      </xdr:txBody>
    </xdr:sp>
    <xdr:clientData/>
  </xdr:oneCellAnchor>
  <xdr:oneCellAnchor>
    <xdr:from>
      <xdr:col>13</xdr:col>
      <xdr:colOff>342900</xdr:colOff>
      <xdr:row>10</xdr:row>
      <xdr:rowOff>175260</xdr:rowOff>
    </xdr:from>
    <xdr:ext cx="520655" cy="264560"/>
    <xdr:sp macro="" textlink="">
      <xdr:nvSpPr>
        <xdr:cNvPr id="6" name="TextBox 5"/>
        <xdr:cNvSpPr txBox="1"/>
      </xdr:nvSpPr>
      <xdr:spPr>
        <a:xfrm>
          <a:off x="8877300" y="1821180"/>
          <a:ext cx="5206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North</a:t>
          </a:r>
        </a:p>
      </xdr:txBody>
    </xdr:sp>
    <xdr:clientData/>
  </xdr:oneCellAnchor>
  <xdr:twoCellAnchor>
    <xdr:from>
      <xdr:col>13</xdr:col>
      <xdr:colOff>137160</xdr:colOff>
      <xdr:row>15</xdr:row>
      <xdr:rowOff>45720</xdr:rowOff>
    </xdr:from>
    <xdr:to>
      <xdr:col>16</xdr:col>
      <xdr:colOff>114300</xdr:colOff>
      <xdr:row>27</xdr:row>
      <xdr:rowOff>83820</xdr:rowOff>
    </xdr:to>
    <xdr:sp macro="" textlink="">
      <xdr:nvSpPr>
        <xdr:cNvPr id="7" name="Block Arc 6"/>
        <xdr:cNvSpPr/>
      </xdr:nvSpPr>
      <xdr:spPr>
        <a:xfrm rot="7290349">
          <a:off x="8458200" y="2819400"/>
          <a:ext cx="2232660" cy="1805940"/>
        </a:xfrm>
        <a:prstGeom prst="blockArc">
          <a:avLst>
            <a:gd name="adj1" fmla="val 15231037"/>
            <a:gd name="adj2" fmla="val 19903326"/>
            <a:gd name="adj3" fmla="val 852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449579</xdr:colOff>
      <xdr:row>17</xdr:row>
      <xdr:rowOff>114302</xdr:rowOff>
    </xdr:from>
    <xdr:to>
      <xdr:col>15</xdr:col>
      <xdr:colOff>243839</xdr:colOff>
      <xdr:row>27</xdr:row>
      <xdr:rowOff>91442</xdr:rowOff>
    </xdr:to>
    <xdr:sp macro="" textlink="">
      <xdr:nvSpPr>
        <xdr:cNvPr id="8" name="Block Arc 7"/>
        <xdr:cNvSpPr/>
      </xdr:nvSpPr>
      <xdr:spPr>
        <a:xfrm rot="12030686">
          <a:off x="7764779" y="3040382"/>
          <a:ext cx="2232660" cy="1805940"/>
        </a:xfrm>
        <a:prstGeom prst="blockArc">
          <a:avLst>
            <a:gd name="adj1" fmla="val 17799854"/>
            <a:gd name="adj2" fmla="val 19838865"/>
            <a:gd name="adj3" fmla="val 7806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7620</xdr:colOff>
      <xdr:row>24</xdr:row>
      <xdr:rowOff>91440</xdr:rowOff>
    </xdr:from>
    <xdr:ext cx="2491740" cy="781240"/>
    <xdr:sp macro="" textlink="">
      <xdr:nvSpPr>
        <xdr:cNvPr id="9" name="TextBox 8"/>
        <xdr:cNvSpPr txBox="1"/>
      </xdr:nvSpPr>
      <xdr:spPr>
        <a:xfrm>
          <a:off x="10370820" y="4297680"/>
          <a:ext cx="249174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South</a:t>
          </a:r>
          <a:r>
            <a:rPr lang="en-US" sz="1100" baseline="0"/>
            <a:t>east</a:t>
          </a:r>
          <a:endParaRPr lang="en-US" sz="1100"/>
        </a:p>
        <a:p>
          <a:r>
            <a:rPr lang="en-US" sz="1100"/>
            <a:t>18.1, 11.4, 22.8</a:t>
          </a:r>
        </a:p>
        <a:p>
          <a:r>
            <a:rPr lang="en-US" sz="1100"/>
            <a:t>Total=</a:t>
          </a:r>
          <a:r>
            <a:rPr lang="en-US" sz="1100" baseline="0"/>
            <a:t>  52.3 lbs</a:t>
          </a:r>
        </a:p>
        <a:p>
          <a:r>
            <a:rPr lang="en-US" sz="1100" baseline="0"/>
            <a:t>CG clocking:  23.2" south;  19.4" east;  </a:t>
          </a:r>
          <a:endParaRPr lang="en-US" sz="1100"/>
        </a:p>
      </xdr:txBody>
    </xdr:sp>
    <xdr:clientData/>
  </xdr:oneCellAnchor>
  <xdr:oneCellAnchor>
    <xdr:from>
      <xdr:col>9</xdr:col>
      <xdr:colOff>713510</xdr:colOff>
      <xdr:row>26</xdr:row>
      <xdr:rowOff>8313</xdr:rowOff>
    </xdr:from>
    <xdr:ext cx="2316480" cy="609013"/>
    <xdr:sp macro="" textlink="">
      <xdr:nvSpPr>
        <xdr:cNvPr id="10" name="TextBox 9"/>
        <xdr:cNvSpPr txBox="1"/>
      </xdr:nvSpPr>
      <xdr:spPr>
        <a:xfrm>
          <a:off x="6608619" y="4919749"/>
          <a:ext cx="231648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South</a:t>
          </a:r>
          <a:r>
            <a:rPr lang="en-US" sz="1100" baseline="0"/>
            <a:t>west</a:t>
          </a:r>
          <a:endParaRPr lang="en-US" sz="1100"/>
        </a:p>
        <a:p>
          <a:r>
            <a:rPr lang="en-US" sz="1100"/>
            <a:t>Total=</a:t>
          </a:r>
          <a:r>
            <a:rPr lang="en-US" sz="1100" baseline="0"/>
            <a:t>  15.1 lbs</a:t>
          </a:r>
        </a:p>
        <a:p>
          <a:r>
            <a:rPr lang="en-US" sz="1100" baseline="0"/>
            <a:t>CG clocking:  21.4 south;  21.4" west;  </a:t>
          </a:r>
          <a:endParaRPr lang="en-US" sz="1100"/>
        </a:p>
      </xdr:txBody>
    </xdr:sp>
    <xdr:clientData/>
  </xdr:oneCellAnchor>
  <xdr:twoCellAnchor>
    <xdr:from>
      <xdr:col>13</xdr:col>
      <xdr:colOff>571500</xdr:colOff>
      <xdr:row>14</xdr:row>
      <xdr:rowOff>68580</xdr:rowOff>
    </xdr:from>
    <xdr:to>
      <xdr:col>15</xdr:col>
      <xdr:colOff>7620</xdr:colOff>
      <xdr:row>20</xdr:row>
      <xdr:rowOff>121920</xdr:rowOff>
    </xdr:to>
    <xdr:cxnSp macro="">
      <xdr:nvCxnSpPr>
        <xdr:cNvPr id="12" name="Straight Arrow Connector 11"/>
        <xdr:cNvCxnSpPr/>
      </xdr:nvCxnSpPr>
      <xdr:spPr>
        <a:xfrm flipV="1">
          <a:off x="9585960" y="2811780"/>
          <a:ext cx="655320" cy="11506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434340</xdr:colOff>
      <xdr:row>16</xdr:row>
      <xdr:rowOff>53340</xdr:rowOff>
    </xdr:from>
    <xdr:ext cx="184731" cy="264560"/>
    <xdr:sp macro="" textlink="">
      <xdr:nvSpPr>
        <xdr:cNvPr id="14" name="TextBox 13"/>
        <xdr:cNvSpPr txBox="1"/>
      </xdr:nvSpPr>
      <xdr:spPr>
        <a:xfrm>
          <a:off x="9578340" y="2796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601980</xdr:colOff>
      <xdr:row>17</xdr:row>
      <xdr:rowOff>83820</xdr:rowOff>
    </xdr:from>
    <xdr:ext cx="639406" cy="264560"/>
    <xdr:sp macro="" textlink="">
      <xdr:nvSpPr>
        <xdr:cNvPr id="15" name="TextBox 14"/>
        <xdr:cNvSpPr txBox="1"/>
      </xdr:nvSpPr>
      <xdr:spPr>
        <a:xfrm>
          <a:off x="9136380" y="3009900"/>
          <a:ext cx="6394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R30.25"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30</xdr:row>
      <xdr:rowOff>60960</xdr:rowOff>
    </xdr:from>
    <xdr:to>
      <xdr:col>3</xdr:col>
      <xdr:colOff>259079</xdr:colOff>
      <xdr:row>43</xdr:row>
      <xdr:rowOff>99060</xdr:rowOff>
    </xdr:to>
    <xdr:grpSp>
      <xdr:nvGrpSpPr>
        <xdr:cNvPr id="24" name="Group 23"/>
        <xdr:cNvGrpSpPr/>
      </xdr:nvGrpSpPr>
      <xdr:grpSpPr>
        <a:xfrm>
          <a:off x="0" y="10789920"/>
          <a:ext cx="3467099" cy="2415540"/>
          <a:chOff x="7691238" y="617220"/>
          <a:chExt cx="3789446" cy="2476500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66244" y="800100"/>
            <a:ext cx="3414440" cy="22936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20" name="Circular Arrow 19"/>
          <xdr:cNvSpPr/>
        </xdr:nvSpPr>
        <xdr:spPr>
          <a:xfrm>
            <a:off x="8138160" y="617220"/>
            <a:ext cx="2171700" cy="1638300"/>
          </a:xfrm>
          <a:prstGeom prst="circularArrow">
            <a:avLst>
              <a:gd name="adj1" fmla="val 4470"/>
              <a:gd name="adj2" fmla="val 585415"/>
              <a:gd name="adj3" fmla="val 20560801"/>
              <a:gd name="adj4" fmla="val 10800000"/>
              <a:gd name="adj5" fmla="val 8839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0180320" y="746760"/>
            <a:ext cx="481991" cy="311496"/>
          </a:xfrm>
          <a:prstGeom prst="rect">
            <a:avLst/>
          </a:prstGeom>
          <a:solidFill>
            <a:srgbClr val="FFFF00"/>
          </a:solidFill>
          <a:ln>
            <a:solidFill>
              <a:schemeClr val="accen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+UP</a:t>
            </a: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7691238" y="1684790"/>
            <a:ext cx="779059" cy="311496"/>
          </a:xfrm>
          <a:prstGeom prst="rect">
            <a:avLst/>
          </a:prstGeom>
          <a:solidFill>
            <a:srgbClr val="FFFF00"/>
          </a:solidFill>
          <a:ln>
            <a:solidFill>
              <a:schemeClr val="accen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−DOWN</a:t>
            </a:r>
          </a:p>
        </xdr:txBody>
      </xdr:sp>
      <xdr:sp macro="" textlink="">
        <xdr:nvSpPr>
          <xdr:cNvPr id="23" name="Circular Arrow 22"/>
          <xdr:cNvSpPr/>
        </xdr:nvSpPr>
        <xdr:spPr>
          <a:xfrm rot="20828041" flipH="1">
            <a:off x="8138160" y="670561"/>
            <a:ext cx="1531620" cy="1531620"/>
          </a:xfrm>
          <a:prstGeom prst="circularArrow">
            <a:avLst>
              <a:gd name="adj1" fmla="val 4600"/>
              <a:gd name="adj2" fmla="val 1009753"/>
              <a:gd name="adj3" fmla="val 20501125"/>
              <a:gd name="adj4" fmla="val 19146052"/>
              <a:gd name="adj5" fmla="val 9760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0</xdr:col>
      <xdr:colOff>533400</xdr:colOff>
      <xdr:row>41</xdr:row>
      <xdr:rowOff>53340</xdr:rowOff>
    </xdr:from>
    <xdr:ext cx="1804468" cy="311496"/>
    <xdr:sp macro="" textlink="">
      <xdr:nvSpPr>
        <xdr:cNvPr id="25" name="TextBox 24"/>
        <xdr:cNvSpPr txBox="1"/>
      </xdr:nvSpPr>
      <xdr:spPr>
        <a:xfrm>
          <a:off x="533400" y="8999220"/>
          <a:ext cx="1804468" cy="3114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Upper</a:t>
          </a:r>
          <a:r>
            <a:rPr lang="en-US" sz="1400"/>
            <a:t> E-Rack position</a:t>
          </a:r>
        </a:p>
      </xdr:txBody>
    </xdr:sp>
    <xdr:clientData/>
  </xdr:oneCellAnchor>
  <xdr:twoCellAnchor editAs="oneCell">
    <xdr:from>
      <xdr:col>3</xdr:col>
      <xdr:colOff>327660</xdr:colOff>
      <xdr:row>30</xdr:row>
      <xdr:rowOff>106680</xdr:rowOff>
    </xdr:from>
    <xdr:to>
      <xdr:col>6</xdr:col>
      <xdr:colOff>760001</xdr:colOff>
      <xdr:row>43</xdr:row>
      <xdr:rowOff>14543</xdr:rowOff>
    </xdr:to>
    <xdr:pic>
      <xdr:nvPicPr>
        <xdr:cNvPr id="27" name="Content Placeholder 3" descr="Screen Clipping"/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7040880"/>
          <a:ext cx="3244121" cy="2285303"/>
        </a:xfrm>
        <a:prstGeom prst="rect">
          <a:avLst/>
        </a:prstGeom>
      </xdr:spPr>
    </xdr:pic>
    <xdr:clientData/>
  </xdr:twoCellAnchor>
  <xdr:twoCellAnchor editAs="oneCell">
    <xdr:from>
      <xdr:col>6</xdr:col>
      <xdr:colOff>769620</xdr:colOff>
      <xdr:row>30</xdr:row>
      <xdr:rowOff>74322</xdr:rowOff>
    </xdr:from>
    <xdr:to>
      <xdr:col>10</xdr:col>
      <xdr:colOff>289560</xdr:colOff>
      <xdr:row>42</xdr:row>
      <xdr:rowOff>119063</xdr:rowOff>
    </xdr:to>
    <xdr:pic>
      <xdr:nvPicPr>
        <xdr:cNvPr id="28" name="Picture 27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940" y="7473342"/>
          <a:ext cx="3566160" cy="2239301"/>
        </a:xfrm>
        <a:prstGeom prst="rect">
          <a:avLst/>
        </a:prstGeom>
      </xdr:spPr>
    </xdr:pic>
    <xdr:clientData/>
  </xdr:twoCellAnchor>
  <xdr:oneCellAnchor>
    <xdr:from>
      <xdr:col>3</xdr:col>
      <xdr:colOff>304800</xdr:colOff>
      <xdr:row>41</xdr:row>
      <xdr:rowOff>0</xdr:rowOff>
    </xdr:from>
    <xdr:ext cx="1868588" cy="311496"/>
    <xdr:sp macro="" textlink="">
      <xdr:nvSpPr>
        <xdr:cNvPr id="29" name="TextBox 28"/>
        <xdr:cNvSpPr txBox="1"/>
      </xdr:nvSpPr>
      <xdr:spPr>
        <a:xfrm>
          <a:off x="3863340" y="8945880"/>
          <a:ext cx="1868588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Middle</a:t>
          </a:r>
          <a:r>
            <a:rPr lang="en-US" sz="1400"/>
            <a:t> E-Rack position</a:t>
          </a:r>
        </a:p>
      </xdr:txBody>
    </xdr:sp>
    <xdr:clientData/>
  </xdr:oneCellAnchor>
  <xdr:oneCellAnchor>
    <xdr:from>
      <xdr:col>7</xdr:col>
      <xdr:colOff>30480</xdr:colOff>
      <xdr:row>40</xdr:row>
      <xdr:rowOff>160020</xdr:rowOff>
    </xdr:from>
    <xdr:ext cx="1800686" cy="311496"/>
    <xdr:sp macro="" textlink="">
      <xdr:nvSpPr>
        <xdr:cNvPr id="30" name="TextBox 29"/>
        <xdr:cNvSpPr txBox="1"/>
      </xdr:nvSpPr>
      <xdr:spPr>
        <a:xfrm>
          <a:off x="7178040" y="8923020"/>
          <a:ext cx="1800686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Lower</a:t>
          </a:r>
          <a:r>
            <a:rPr lang="en-US" sz="1400"/>
            <a:t> E-Rack position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B1" zoomScale="90" zoomScaleNormal="90" zoomScaleSheetLayoutView="100" workbookViewId="0">
      <pane ySplit="5" topLeftCell="A6" activePane="bottomLeft" state="frozen"/>
      <selection activeCell="B1" sqref="B1"/>
      <selection pane="bottomLeft" activeCell="Q29" sqref="Q29"/>
    </sheetView>
  </sheetViews>
  <sheetFormatPr defaultRowHeight="14.4" x14ac:dyDescent="0.3"/>
  <cols>
    <col min="1" max="1" width="8.5546875" hidden="1" customWidth="1"/>
    <col min="2" max="2" width="36.6640625" customWidth="1"/>
    <col min="3" max="3" width="10.21875" customWidth="1"/>
    <col min="4" max="4" width="9.44140625" customWidth="1"/>
    <col min="5" max="5" width="9.44140625" style="197" customWidth="1"/>
    <col min="6" max="6" width="13.109375" customWidth="1"/>
    <col min="7" max="7" width="13" customWidth="1"/>
    <col min="8" max="8" width="14.5546875" customWidth="1"/>
    <col min="9" max="10" width="8.88671875" customWidth="1"/>
    <col min="11" max="11" width="14.109375" customWidth="1"/>
    <col min="12" max="12" width="11.33203125" customWidth="1"/>
    <col min="13" max="14" width="8.88671875" customWidth="1"/>
    <col min="15" max="15" width="14.109375" customWidth="1"/>
    <col min="16" max="16" width="11.33203125" customWidth="1"/>
    <col min="17" max="17" width="35" customWidth="1"/>
    <col min="18" max="18" width="2.109375" hidden="1" customWidth="1"/>
    <col min="19" max="19" width="16.21875" customWidth="1"/>
  </cols>
  <sheetData>
    <row r="1" spans="1:19" ht="23.4" x14ac:dyDescent="0.45">
      <c r="B1" s="8" t="s">
        <v>171</v>
      </c>
    </row>
    <row r="2" spans="1:19" ht="21" customHeight="1" x14ac:dyDescent="0.4">
      <c r="B2" s="253" t="s">
        <v>175</v>
      </c>
      <c r="C2" s="220"/>
      <c r="D2" s="220"/>
      <c r="E2" s="240"/>
      <c r="F2" s="220"/>
      <c r="G2" s="284" t="s">
        <v>51</v>
      </c>
      <c r="H2" s="284"/>
      <c r="I2" s="221"/>
      <c r="J2" s="221"/>
      <c r="K2" s="284" t="s">
        <v>52</v>
      </c>
      <c r="L2" s="284"/>
      <c r="M2" s="221"/>
      <c r="N2" s="221"/>
      <c r="O2" s="284" t="s">
        <v>53</v>
      </c>
      <c r="P2" s="284"/>
    </row>
    <row r="3" spans="1:19" ht="54" customHeight="1" x14ac:dyDescent="0.4">
      <c r="A3" s="278" t="s">
        <v>0</v>
      </c>
      <c r="B3" s="279" t="s">
        <v>1</v>
      </c>
      <c r="C3" s="280" t="s">
        <v>2</v>
      </c>
      <c r="D3" s="280" t="s">
        <v>174</v>
      </c>
      <c r="E3" s="280"/>
      <c r="F3" s="281" t="s">
        <v>34</v>
      </c>
      <c r="G3" s="280" t="s">
        <v>5</v>
      </c>
      <c r="H3" s="280"/>
      <c r="I3" s="283" t="s">
        <v>172</v>
      </c>
      <c r="J3" s="284"/>
      <c r="K3" s="280" t="s">
        <v>5</v>
      </c>
      <c r="L3" s="280"/>
      <c r="M3" s="283" t="s">
        <v>173</v>
      </c>
      <c r="N3" s="284"/>
      <c r="O3" s="280" t="s">
        <v>5</v>
      </c>
      <c r="P3" s="280"/>
      <c r="R3" s="30" t="s">
        <v>39</v>
      </c>
    </row>
    <row r="4" spans="1:19" ht="23.4" customHeight="1" x14ac:dyDescent="0.35">
      <c r="A4" s="278"/>
      <c r="B4" s="279"/>
      <c r="C4" s="280"/>
      <c r="D4" s="181" t="s">
        <v>177</v>
      </c>
      <c r="E4" s="241" t="s">
        <v>176</v>
      </c>
      <c r="F4" s="281"/>
      <c r="G4" s="6" t="s">
        <v>3</v>
      </c>
      <c r="H4" s="6" t="s">
        <v>4</v>
      </c>
      <c r="I4" s="222" t="s">
        <v>75</v>
      </c>
      <c r="J4" s="222" t="s">
        <v>76</v>
      </c>
      <c r="K4" s="6" t="s">
        <v>75</v>
      </c>
      <c r="L4" s="6" t="s">
        <v>76</v>
      </c>
      <c r="M4" s="222" t="s">
        <v>73</v>
      </c>
      <c r="N4" s="222" t="s">
        <v>74</v>
      </c>
      <c r="O4" s="6" t="s">
        <v>73</v>
      </c>
      <c r="P4" s="6" t="s">
        <v>74</v>
      </c>
    </row>
    <row r="5" spans="1:19" ht="22.2" hidden="1" customHeight="1" x14ac:dyDescent="0.3">
      <c r="A5" s="71">
        <v>3</v>
      </c>
      <c r="B5" s="10" t="s">
        <v>11</v>
      </c>
      <c r="C5" s="11">
        <v>242</v>
      </c>
      <c r="D5" s="11"/>
      <c r="E5" s="200">
        <f>169.25/12</f>
        <v>14.104166666666666</v>
      </c>
      <c r="F5" s="9" t="s">
        <v>72</v>
      </c>
      <c r="G5" s="11">
        <v>0</v>
      </c>
      <c r="H5" s="11"/>
      <c r="I5" s="11"/>
      <c r="J5" s="11"/>
      <c r="K5" s="11"/>
      <c r="L5" s="11"/>
      <c r="M5" s="11"/>
      <c r="N5" s="11"/>
      <c r="O5" s="11"/>
      <c r="P5" s="11"/>
      <c r="Q5" s="113"/>
      <c r="R5" s="41">
        <f>C5*E5^2</f>
        <v>48140.459201388883</v>
      </c>
    </row>
    <row r="6" spans="1:19" ht="51.6" customHeight="1" x14ac:dyDescent="0.35">
      <c r="A6" s="71">
        <v>5</v>
      </c>
      <c r="B6" s="215" t="s">
        <v>48</v>
      </c>
      <c r="C6" s="68">
        <f>99+185</f>
        <v>284</v>
      </c>
      <c r="D6" s="242">
        <v>14.4</v>
      </c>
      <c r="E6" s="242"/>
      <c r="F6" s="277" t="s">
        <v>199</v>
      </c>
      <c r="G6" s="69">
        <f>D6*C6</f>
        <v>4089.6</v>
      </c>
      <c r="H6" s="69"/>
      <c r="I6" s="69"/>
      <c r="J6" s="69"/>
      <c r="K6" s="69"/>
      <c r="L6" s="69"/>
      <c r="M6" s="69"/>
      <c r="N6" s="69"/>
      <c r="O6" s="69"/>
      <c r="P6" s="69"/>
      <c r="Q6" s="121" t="s">
        <v>83</v>
      </c>
      <c r="R6" s="41">
        <f>C6*E6^2</f>
        <v>0</v>
      </c>
      <c r="S6" s="70"/>
    </row>
    <row r="7" spans="1:19" ht="22.2" customHeight="1" x14ac:dyDescent="0.35">
      <c r="A7" s="71"/>
      <c r="B7" s="214" t="s">
        <v>165</v>
      </c>
      <c r="C7" s="68">
        <v>242</v>
      </c>
      <c r="D7" s="242">
        <v>14.1</v>
      </c>
      <c r="E7" s="242"/>
      <c r="F7" s="223" t="s">
        <v>14</v>
      </c>
      <c r="G7" s="69">
        <f t="shared" ref="G7:G12" si="0">D7*C7</f>
        <v>3412.2</v>
      </c>
      <c r="H7" s="69"/>
      <c r="I7" s="69"/>
      <c r="J7" s="69"/>
      <c r="K7" s="69"/>
      <c r="L7" s="69"/>
      <c r="M7" s="69"/>
      <c r="N7" s="69"/>
      <c r="O7" s="69"/>
      <c r="P7" s="69"/>
      <c r="Q7" s="113"/>
      <c r="R7" s="41"/>
    </row>
    <row r="8" spans="1:19" ht="22.2" customHeight="1" x14ac:dyDescent="0.35">
      <c r="A8" s="71"/>
      <c r="B8" s="214" t="s">
        <v>158</v>
      </c>
      <c r="C8" s="68">
        <v>423</v>
      </c>
      <c r="D8" s="242">
        <v>4.8</v>
      </c>
      <c r="E8" s="242"/>
      <c r="F8" s="223" t="s">
        <v>14</v>
      </c>
      <c r="G8" s="69">
        <f t="shared" si="0"/>
        <v>2030.3999999999999</v>
      </c>
      <c r="H8" s="69"/>
      <c r="I8" s="69"/>
      <c r="J8" s="69"/>
      <c r="K8" s="69"/>
      <c r="L8" s="69"/>
      <c r="M8" s="69"/>
      <c r="N8" s="69"/>
      <c r="O8" s="69"/>
      <c r="P8" s="69"/>
      <c r="Q8" s="113"/>
      <c r="R8" s="41"/>
    </row>
    <row r="9" spans="1:19" ht="22.2" customHeight="1" x14ac:dyDescent="0.35">
      <c r="A9" s="71"/>
      <c r="B9" s="214" t="s">
        <v>160</v>
      </c>
      <c r="C9" s="68">
        <v>45</v>
      </c>
      <c r="D9" s="242">
        <v>6</v>
      </c>
      <c r="E9" s="242"/>
      <c r="F9" s="223" t="s">
        <v>14</v>
      </c>
      <c r="G9" s="69">
        <f t="shared" si="0"/>
        <v>270</v>
      </c>
      <c r="H9" s="69"/>
      <c r="I9" s="69"/>
      <c r="J9" s="69"/>
      <c r="K9" s="69"/>
      <c r="L9" s="69"/>
      <c r="M9" s="69"/>
      <c r="N9" s="69"/>
      <c r="O9" s="69"/>
      <c r="P9" s="69"/>
      <c r="Q9" s="113"/>
      <c r="R9" s="41"/>
    </row>
    <row r="10" spans="1:19" ht="22.2" customHeight="1" x14ac:dyDescent="0.35">
      <c r="A10" s="71"/>
      <c r="B10" s="214" t="s">
        <v>178</v>
      </c>
      <c r="C10" s="68">
        <v>93</v>
      </c>
      <c r="D10" s="242">
        <v>3.7</v>
      </c>
      <c r="E10" s="242"/>
      <c r="F10" s="223" t="s">
        <v>14</v>
      </c>
      <c r="G10" s="69">
        <f t="shared" si="0"/>
        <v>344.1</v>
      </c>
      <c r="H10" s="69"/>
      <c r="I10" s="69"/>
      <c r="J10" s="69">
        <v>5.7</v>
      </c>
      <c r="K10" s="69"/>
      <c r="L10" s="69">
        <f t="shared" ref="L10:L12" si="1">J10*C10</f>
        <v>530.1</v>
      </c>
      <c r="M10" s="69"/>
      <c r="N10" s="69"/>
      <c r="O10" s="69"/>
      <c r="P10" s="69"/>
      <c r="Q10" s="113"/>
      <c r="R10" s="41"/>
    </row>
    <row r="11" spans="1:19" ht="22.2" customHeight="1" x14ac:dyDescent="0.35">
      <c r="A11" s="71"/>
      <c r="B11" s="214" t="s">
        <v>180</v>
      </c>
      <c r="C11" s="68">
        <v>60</v>
      </c>
      <c r="D11" s="242">
        <v>3.8</v>
      </c>
      <c r="E11" s="242"/>
      <c r="F11" s="223" t="s">
        <v>14</v>
      </c>
      <c r="G11" s="69">
        <f t="shared" si="0"/>
        <v>228</v>
      </c>
      <c r="H11" s="69"/>
      <c r="I11" s="69"/>
      <c r="J11" s="69">
        <v>2.7</v>
      </c>
      <c r="K11" s="69"/>
      <c r="L11" s="69">
        <f t="shared" si="1"/>
        <v>162</v>
      </c>
      <c r="M11" s="69"/>
      <c r="N11" s="69"/>
      <c r="O11" s="69"/>
      <c r="P11" s="69"/>
      <c r="Q11" s="113"/>
      <c r="R11" s="41"/>
    </row>
    <row r="12" spans="1:19" ht="22.2" customHeight="1" x14ac:dyDescent="0.35">
      <c r="A12" s="71"/>
      <c r="B12" s="214" t="s">
        <v>179</v>
      </c>
      <c r="C12" s="68">
        <v>40</v>
      </c>
      <c r="D12" s="242">
        <v>4.0999999999999996</v>
      </c>
      <c r="E12" s="242"/>
      <c r="F12" s="223" t="s">
        <v>14</v>
      </c>
      <c r="G12" s="69">
        <f t="shared" si="0"/>
        <v>164</v>
      </c>
      <c r="H12" s="69"/>
      <c r="I12" s="69"/>
      <c r="J12" s="69">
        <v>3.7</v>
      </c>
      <c r="K12" s="69"/>
      <c r="L12" s="69">
        <f t="shared" si="1"/>
        <v>148</v>
      </c>
      <c r="M12" s="69"/>
      <c r="N12" s="69"/>
      <c r="O12" s="69"/>
      <c r="P12" s="69"/>
      <c r="Q12" s="113"/>
      <c r="R12" s="41"/>
    </row>
    <row r="13" spans="1:19" ht="22.2" customHeight="1" x14ac:dyDescent="0.35">
      <c r="A13" s="71"/>
      <c r="B13" s="214" t="s">
        <v>161</v>
      </c>
      <c r="C13" s="68">
        <v>350</v>
      </c>
      <c r="D13" s="68"/>
      <c r="E13" s="242">
        <v>2.95</v>
      </c>
      <c r="F13" s="223" t="s">
        <v>14</v>
      </c>
      <c r="G13" s="69"/>
      <c r="H13" s="69">
        <f>C13*E13</f>
        <v>1032.5</v>
      </c>
      <c r="I13" s="69"/>
      <c r="J13" s="69">
        <v>4.5999999999999996</v>
      </c>
      <c r="K13" s="69"/>
      <c r="L13" s="69">
        <f>J13*C13</f>
        <v>1609.9999999999998</v>
      </c>
      <c r="M13" s="69"/>
      <c r="N13" s="69"/>
      <c r="O13" s="69"/>
      <c r="P13" s="69"/>
      <c r="Q13" s="113"/>
      <c r="R13" s="41"/>
    </row>
    <row r="14" spans="1:19" ht="22.2" customHeight="1" x14ac:dyDescent="0.35">
      <c r="A14" s="71"/>
      <c r="B14" s="214" t="s">
        <v>163</v>
      </c>
      <c r="C14" s="68">
        <v>50</v>
      </c>
      <c r="D14" s="242">
        <v>6</v>
      </c>
      <c r="E14" s="242"/>
      <c r="F14" s="223" t="s">
        <v>14</v>
      </c>
      <c r="G14" s="69">
        <f>C14*D14</f>
        <v>300</v>
      </c>
      <c r="H14" s="69"/>
      <c r="I14" s="69"/>
      <c r="J14" s="69">
        <v>3.5</v>
      </c>
      <c r="K14" s="69"/>
      <c r="L14" s="69">
        <f>J14*C14</f>
        <v>175</v>
      </c>
      <c r="M14" s="69"/>
      <c r="N14" s="69"/>
      <c r="O14" s="69"/>
      <c r="P14" s="69"/>
      <c r="Q14" s="113"/>
      <c r="R14" s="41"/>
    </row>
    <row r="15" spans="1:19" ht="22.2" customHeight="1" x14ac:dyDescent="0.35">
      <c r="A15" s="71">
        <v>6</v>
      </c>
      <c r="B15" s="253" t="s">
        <v>16</v>
      </c>
      <c r="C15" s="11">
        <v>339</v>
      </c>
      <c r="D15" s="11"/>
      <c r="E15" s="200">
        <f>58/12</f>
        <v>4.833333333333333</v>
      </c>
      <c r="F15" s="9" t="s">
        <v>10</v>
      </c>
      <c r="G15" s="11"/>
      <c r="H15" s="216">
        <f>C15*E15</f>
        <v>1638.5</v>
      </c>
      <c r="I15" s="216"/>
      <c r="J15" s="216"/>
      <c r="K15" s="11"/>
      <c r="L15" s="11"/>
      <c r="M15" s="216"/>
      <c r="N15" s="216"/>
      <c r="O15" s="11"/>
      <c r="P15" s="11"/>
      <c r="Q15" s="70"/>
      <c r="R15" s="41">
        <f>-C15*E15^2</f>
        <v>-7919.4166666666652</v>
      </c>
    </row>
    <row r="16" spans="1:19" ht="22.2" hidden="1" customHeight="1" x14ac:dyDescent="0.35">
      <c r="A16" s="71">
        <v>7</v>
      </c>
      <c r="B16" s="253" t="s">
        <v>17</v>
      </c>
      <c r="C16" s="11">
        <v>422.4</v>
      </c>
      <c r="D16" s="11"/>
      <c r="E16" s="200">
        <f>58/12</f>
        <v>4.833333333333333</v>
      </c>
      <c r="F16" s="9" t="s">
        <v>72</v>
      </c>
      <c r="G16" s="11">
        <v>0</v>
      </c>
      <c r="H16" s="216">
        <f>C16*E16</f>
        <v>2041.5999999999997</v>
      </c>
      <c r="I16" s="216"/>
      <c r="J16" s="216"/>
      <c r="K16" s="11"/>
      <c r="L16" s="11"/>
      <c r="M16" s="216"/>
      <c r="N16" s="216"/>
      <c r="O16" s="11"/>
      <c r="P16" s="11"/>
      <c r="R16" s="41">
        <f>C16*E16^2</f>
        <v>9867.7333333333318</v>
      </c>
    </row>
    <row r="17" spans="1:19" ht="22.2" customHeight="1" x14ac:dyDescent="0.35">
      <c r="A17" s="71"/>
      <c r="B17" s="253" t="s">
        <v>55</v>
      </c>
      <c r="C17" s="11">
        <v>30</v>
      </c>
      <c r="D17" s="11"/>
      <c r="E17" s="200">
        <v>4.5</v>
      </c>
      <c r="F17" s="9" t="s">
        <v>10</v>
      </c>
      <c r="G17" s="11"/>
      <c r="H17" s="216">
        <f>C17*E17</f>
        <v>135</v>
      </c>
      <c r="I17" s="216">
        <v>4</v>
      </c>
      <c r="J17" s="216"/>
      <c r="K17" s="220">
        <f>I17*C17</f>
        <v>120</v>
      </c>
      <c r="L17" s="220"/>
      <c r="M17" s="216">
        <v>2</v>
      </c>
      <c r="N17" s="216"/>
      <c r="O17" s="220">
        <f>M17*C17</f>
        <v>60</v>
      </c>
      <c r="P17" s="224"/>
      <c r="Q17" s="113"/>
    </row>
    <row r="18" spans="1:19" ht="22.2" customHeight="1" x14ac:dyDescent="0.35">
      <c r="A18" s="71">
        <v>8</v>
      </c>
      <c r="B18" s="253" t="s">
        <v>18</v>
      </c>
      <c r="C18" s="11">
        <v>140</v>
      </c>
      <c r="D18" s="11"/>
      <c r="E18" s="200">
        <f>61/12</f>
        <v>5.083333333333333</v>
      </c>
      <c r="F18" s="9" t="s">
        <v>10</v>
      </c>
      <c r="G18" s="11"/>
      <c r="H18" s="216">
        <f>C18*E18</f>
        <v>711.66666666666663</v>
      </c>
      <c r="I18" s="216">
        <v>4.5</v>
      </c>
      <c r="J18" s="216"/>
      <c r="K18" s="220">
        <f>I18*C18</f>
        <v>630</v>
      </c>
      <c r="L18" s="220"/>
      <c r="M18" s="216"/>
      <c r="N18" s="216"/>
      <c r="O18" s="11"/>
      <c r="P18" s="11"/>
      <c r="R18" s="41">
        <f>-C18*E18^2</f>
        <v>-3617.6388888888887</v>
      </c>
    </row>
    <row r="19" spans="1:19" ht="22.2" customHeight="1" x14ac:dyDescent="0.35">
      <c r="A19" s="71"/>
      <c r="B19" s="253" t="s">
        <v>169</v>
      </c>
      <c r="C19" s="11">
        <v>350</v>
      </c>
      <c r="D19" s="11"/>
      <c r="E19" s="200">
        <v>0.3</v>
      </c>
      <c r="F19" s="225" t="s">
        <v>10</v>
      </c>
      <c r="G19" s="11">
        <f>C19*E19</f>
        <v>105</v>
      </c>
      <c r="H19" s="216"/>
      <c r="I19" s="216">
        <v>3.6</v>
      </c>
      <c r="J19" s="216"/>
      <c r="K19" s="220">
        <f>I19*C19</f>
        <v>1260</v>
      </c>
      <c r="L19" s="11"/>
      <c r="M19" s="216"/>
      <c r="N19" s="216">
        <v>1.6</v>
      </c>
      <c r="O19" s="11"/>
      <c r="P19" s="11">
        <f>N19*C19</f>
        <v>560</v>
      </c>
      <c r="R19" s="41"/>
    </row>
    <row r="20" spans="1:19" ht="22.2" customHeight="1" x14ac:dyDescent="0.35">
      <c r="A20" s="71"/>
      <c r="B20" s="253" t="s">
        <v>166</v>
      </c>
      <c r="C20" s="232">
        <v>417</v>
      </c>
      <c r="D20" s="11"/>
      <c r="E20" s="200">
        <v>5</v>
      </c>
      <c r="F20" s="9" t="s">
        <v>167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R20" s="41"/>
    </row>
    <row r="21" spans="1:19" ht="30.6" customHeight="1" x14ac:dyDescent="0.3">
      <c r="A21" s="71"/>
      <c r="B21" s="226" t="s">
        <v>168</v>
      </c>
      <c r="C21" s="227"/>
      <c r="D21" s="227"/>
      <c r="E21" s="243"/>
      <c r="F21" s="228"/>
      <c r="G21" s="229"/>
      <c r="H21" s="230">
        <f>SUM(G7:G19)-SUM(H13:H18)</f>
        <v>1294.4333333333334</v>
      </c>
      <c r="I21" s="230"/>
      <c r="J21" s="230"/>
      <c r="K21" s="230">
        <f>ABS(SUM(K7:K20)-SUM(L7:L20))</f>
        <v>615.09999999999991</v>
      </c>
      <c r="L21" s="230"/>
      <c r="M21" s="230"/>
      <c r="N21" s="230"/>
      <c r="O21" s="230">
        <f>ABS(SUM(O7:O20)-SUM(P7:P20))</f>
        <v>500</v>
      </c>
      <c r="P21" s="231"/>
      <c r="R21" s="41"/>
    </row>
    <row r="22" spans="1:19" ht="28.2" customHeight="1" x14ac:dyDescent="0.3">
      <c r="A22" s="71"/>
      <c r="B22" s="38" t="s">
        <v>170</v>
      </c>
      <c r="C22" s="11"/>
      <c r="D22" s="11"/>
      <c r="E22" s="200"/>
      <c r="F22" s="220"/>
      <c r="G22" s="220"/>
      <c r="H22" s="232">
        <f>H21/5</f>
        <v>258.88666666666666</v>
      </c>
      <c r="I22" s="232"/>
      <c r="J22" s="232"/>
      <c r="K22" s="233"/>
      <c r="L22" s="220"/>
      <c r="M22" s="232"/>
      <c r="N22" s="232"/>
      <c r="O22" s="233"/>
      <c r="P22" s="220"/>
    </row>
    <row r="23" spans="1:19" ht="28.2" hidden="1" customHeight="1" x14ac:dyDescent="0.3">
      <c r="A23" s="71"/>
      <c r="B23" s="38"/>
      <c r="C23" s="11"/>
      <c r="D23" s="11"/>
      <c r="E23" s="200"/>
      <c r="F23" s="220"/>
      <c r="G23" s="220"/>
      <c r="H23" s="11"/>
      <c r="I23" s="11"/>
      <c r="J23" s="11"/>
      <c r="K23" s="234"/>
      <c r="L23" s="220"/>
      <c r="M23" s="11"/>
      <c r="N23" s="11"/>
      <c r="O23" s="234"/>
      <c r="P23" s="220"/>
      <c r="Q23" s="73" t="s">
        <v>40</v>
      </c>
      <c r="R23" s="42" t="s">
        <v>43</v>
      </c>
      <c r="S23" s="46" t="s">
        <v>44</v>
      </c>
    </row>
    <row r="24" spans="1:19" ht="22.2" hidden="1" customHeight="1" x14ac:dyDescent="0.3">
      <c r="A24" s="71" t="s">
        <v>36</v>
      </c>
      <c r="B24" s="15" t="s">
        <v>22</v>
      </c>
      <c r="C24" s="16">
        <v>350</v>
      </c>
      <c r="D24" s="16"/>
      <c r="E24" s="201">
        <v>4.8</v>
      </c>
      <c r="F24" s="14" t="s">
        <v>14</v>
      </c>
      <c r="G24" s="220"/>
      <c r="H24" s="16">
        <f>C24*E24</f>
        <v>1680</v>
      </c>
      <c r="I24" s="16"/>
      <c r="J24" s="16"/>
      <c r="K24" s="235"/>
      <c r="L24" s="220"/>
      <c r="M24" s="16"/>
      <c r="N24" s="16"/>
      <c r="O24" s="235"/>
      <c r="P24" s="220"/>
      <c r="Q24" s="74" t="e">
        <f>-#REF!-#REF!-#REF!+$C$5+$C$6-$C$15+$C$16-$C$18+#REF!+#REF!+#REF!+C24+#REF!</f>
        <v>#REF!</v>
      </c>
      <c r="R24" s="44" t="e">
        <f>SUM(R5:R18)+(C24*E24^2)+(#REF!*4.5^2)</f>
        <v>#REF!</v>
      </c>
    </row>
    <row r="25" spans="1:19" ht="22.2" hidden="1" customHeight="1" x14ac:dyDescent="0.3">
      <c r="A25" s="71" t="s">
        <v>37</v>
      </c>
      <c r="B25" s="19" t="s">
        <v>20</v>
      </c>
      <c r="C25" s="20">
        <v>350</v>
      </c>
      <c r="D25" s="20"/>
      <c r="E25" s="202">
        <f>-20/12</f>
        <v>-1.6666666666666667</v>
      </c>
      <c r="F25" s="18" t="s">
        <v>14</v>
      </c>
      <c r="G25" s="220"/>
      <c r="H25" s="20"/>
      <c r="I25" s="20"/>
      <c r="J25" s="20"/>
      <c r="K25" s="236"/>
      <c r="L25" s="220"/>
      <c r="M25" s="20"/>
      <c r="N25" s="20"/>
      <c r="O25" s="236"/>
      <c r="P25" s="220"/>
      <c r="Q25" s="74" t="e">
        <f>-#REF!-#REF!-#REF!+$C$5+$C$6-$C$15+$C$16-$C$18+#REF!+#REF!+#REF!+C25+#REF!</f>
        <v>#REF!</v>
      </c>
      <c r="R25" s="44" t="e">
        <f>SUM(R5:R18)+(C25*E25^2)+(#REF!*4.5^2)</f>
        <v>#REF!</v>
      </c>
    </row>
    <row r="26" spans="1:19" ht="24" hidden="1" customHeight="1" x14ac:dyDescent="0.3">
      <c r="A26" s="71" t="s">
        <v>38</v>
      </c>
      <c r="B26" s="27" t="s">
        <v>21</v>
      </c>
      <c r="C26" s="28">
        <v>350</v>
      </c>
      <c r="D26" s="28"/>
      <c r="E26" s="203">
        <f>-54/12</f>
        <v>-4.5</v>
      </c>
      <c r="F26" s="26" t="s">
        <v>14</v>
      </c>
      <c r="G26" s="220"/>
      <c r="H26" s="27"/>
      <c r="I26" s="27"/>
      <c r="J26" s="27"/>
      <c r="K26" s="237"/>
      <c r="L26" s="220"/>
      <c r="M26" s="27"/>
      <c r="N26" s="27"/>
      <c r="O26" s="237"/>
      <c r="P26" s="220"/>
      <c r="Q26" s="74" t="e">
        <f>-#REF!-#REF!-#REF!+$C$5+$C$6-$C$15+$C$16-$C$18+#REF!+#REF!+#REF!+C26+#REF!</f>
        <v>#REF!</v>
      </c>
      <c r="R26" s="44" t="e">
        <f>SUM(R5:R18)+(C26*E26^2)+(#REF!*4.5^2)</f>
        <v>#REF!</v>
      </c>
    </row>
    <row r="27" spans="1:19" ht="27" hidden="1" customHeight="1" x14ac:dyDescent="0.3">
      <c r="A27" s="71" t="s">
        <v>42</v>
      </c>
      <c r="B27" s="27" t="s">
        <v>25</v>
      </c>
      <c r="C27" s="28">
        <v>700</v>
      </c>
      <c r="D27" s="28"/>
      <c r="E27" s="203">
        <v>-0.28000000000000003</v>
      </c>
      <c r="F27" s="26" t="s">
        <v>10</v>
      </c>
      <c r="G27" s="220"/>
      <c r="H27" s="27">
        <f>ABS(C27*E27)</f>
        <v>196.00000000000003</v>
      </c>
      <c r="I27" s="27"/>
      <c r="J27" s="27"/>
      <c r="K27" s="237"/>
      <c r="L27" s="220"/>
      <c r="M27" s="27"/>
      <c r="N27" s="27"/>
      <c r="O27" s="237"/>
      <c r="P27" s="220"/>
      <c r="Q27" s="74" t="e">
        <f>-#REF!-#REF!-#REF!+$C$5+$C$6-$C$15+$C$16-$C$18+#REF!+#REF!+#REF!-C27+#REF!</f>
        <v>#REF!</v>
      </c>
      <c r="R27" s="44" t="e">
        <f>SUM(R5:R18)+(C26*E26^2)+(#REF!*4.5^2)-(C27*E27^2)</f>
        <v>#REF!</v>
      </c>
    </row>
    <row r="28" spans="1:19" ht="43.2" x14ac:dyDescent="0.3">
      <c r="B28" s="38" t="s">
        <v>79</v>
      </c>
      <c r="C28" s="220"/>
      <c r="D28" s="220"/>
      <c r="E28" s="240"/>
      <c r="F28" s="220"/>
      <c r="G28" s="220"/>
      <c r="H28" s="238" t="s">
        <v>80</v>
      </c>
      <c r="I28" s="238"/>
      <c r="J28" s="238"/>
      <c r="K28" s="239" t="s">
        <v>201</v>
      </c>
      <c r="L28" s="220"/>
      <c r="M28" s="238"/>
      <c r="N28" s="238"/>
      <c r="O28" s="239" t="s">
        <v>202</v>
      </c>
      <c r="P28" s="220"/>
      <c r="Q28" s="30"/>
    </row>
    <row r="29" spans="1:19" ht="46.8" customHeight="1" thickBot="1" x14ac:dyDescent="0.35">
      <c r="B29" s="5"/>
      <c r="C29" s="5"/>
      <c r="D29" s="5"/>
      <c r="G29" s="269" t="s">
        <v>200</v>
      </c>
      <c r="H29" s="270">
        <f>H22+C20</f>
        <v>675.88666666666666</v>
      </c>
      <c r="I29" s="217"/>
      <c r="J29" s="217"/>
      <c r="K29" s="218"/>
      <c r="L29" s="219"/>
      <c r="M29" s="217"/>
      <c r="N29" s="217"/>
      <c r="O29" s="218"/>
      <c r="P29" s="50"/>
    </row>
    <row r="31" spans="1:19" ht="15.6" x14ac:dyDescent="0.3">
      <c r="B31" s="3"/>
      <c r="R31" s="45"/>
    </row>
    <row r="32" spans="1:19" s="2" customFormat="1" ht="49.8" customHeight="1" x14ac:dyDescent="0.3">
      <c r="A32" s="4"/>
      <c r="B32" s="282"/>
      <c r="C32" s="282"/>
      <c r="D32" s="282"/>
      <c r="E32" s="282"/>
      <c r="F32" s="282"/>
      <c r="G32" s="282"/>
      <c r="H32" s="282"/>
      <c r="I32" s="90"/>
      <c r="J32" s="90"/>
      <c r="K32" s="90"/>
      <c r="L32" s="90"/>
      <c r="M32" s="90"/>
      <c r="N32" s="90"/>
      <c r="O32" s="90"/>
      <c r="P32" s="90"/>
    </row>
    <row r="33" spans="1:16" s="2" customFormat="1" ht="36" customHeight="1" x14ac:dyDescent="0.3">
      <c r="A33" s="4"/>
      <c r="B33" s="282"/>
      <c r="C33" s="282"/>
      <c r="D33" s="282"/>
      <c r="E33" s="282"/>
      <c r="F33" s="282"/>
      <c r="G33" s="282"/>
      <c r="H33" s="282"/>
      <c r="I33" s="90"/>
      <c r="J33" s="90"/>
      <c r="K33" s="90"/>
      <c r="L33" s="90"/>
      <c r="M33" s="90"/>
      <c r="N33" s="90"/>
      <c r="O33" s="90"/>
      <c r="P33" s="90"/>
    </row>
    <row r="34" spans="1:16" s="2" customFormat="1" ht="36" customHeight="1" x14ac:dyDescent="0.3">
      <c r="A34" s="4"/>
      <c r="B34" s="282"/>
      <c r="C34" s="282"/>
      <c r="D34" s="282"/>
      <c r="E34" s="282"/>
      <c r="F34" s="282"/>
      <c r="G34" s="282"/>
      <c r="H34" s="282"/>
      <c r="I34" s="90"/>
      <c r="J34" s="90"/>
      <c r="K34" s="90"/>
      <c r="L34" s="90"/>
      <c r="M34" s="90"/>
      <c r="N34" s="90"/>
      <c r="O34" s="90"/>
      <c r="P34" s="90"/>
    </row>
    <row r="35" spans="1:16" s="2" customFormat="1" ht="36" customHeight="1" x14ac:dyDescent="0.3">
      <c r="A35" s="4"/>
      <c r="B35" s="282"/>
      <c r="C35" s="282"/>
      <c r="D35" s="282"/>
      <c r="E35" s="282"/>
      <c r="F35" s="282"/>
      <c r="G35" s="282"/>
      <c r="H35" s="282"/>
      <c r="I35" s="90"/>
      <c r="J35" s="90"/>
      <c r="K35" s="90"/>
      <c r="L35" s="90"/>
      <c r="M35" s="90"/>
      <c r="N35" s="90"/>
      <c r="O35" s="90"/>
      <c r="P35" s="90"/>
    </row>
  </sheetData>
  <mergeCells count="17">
    <mergeCell ref="O2:P2"/>
    <mergeCell ref="M3:N3"/>
    <mergeCell ref="D3:E3"/>
    <mergeCell ref="O3:P3"/>
    <mergeCell ref="B32:H32"/>
    <mergeCell ref="K2:L2"/>
    <mergeCell ref="K3:L3"/>
    <mergeCell ref="B33:H33"/>
    <mergeCell ref="B34:H34"/>
    <mergeCell ref="B35:H35"/>
    <mergeCell ref="I3:J3"/>
    <mergeCell ref="G2:H2"/>
    <mergeCell ref="A3:A4"/>
    <mergeCell ref="B3:B4"/>
    <mergeCell ref="C3:C4"/>
    <mergeCell ref="F3:F4"/>
    <mergeCell ref="G3:H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B4" zoomScaleNormal="100" zoomScaleSheetLayoutView="100" workbookViewId="0">
      <selection activeCell="G24" sqref="G24"/>
    </sheetView>
  </sheetViews>
  <sheetFormatPr defaultRowHeight="14.4" x14ac:dyDescent="0.3"/>
  <cols>
    <col min="1" max="1" width="8.5546875" hidden="1" customWidth="1"/>
    <col min="2" max="2" width="36.6640625" customWidth="1"/>
    <col min="3" max="3" width="10.21875" customWidth="1"/>
    <col min="4" max="4" width="13.77734375" customWidth="1"/>
    <col min="5" max="5" width="13.109375" customWidth="1"/>
    <col min="6" max="6" width="13" customWidth="1"/>
    <col min="7" max="7" width="14.5546875" customWidth="1"/>
    <col min="8" max="8" width="14.109375" customWidth="1"/>
    <col min="9" max="9" width="11.33203125" customWidth="1"/>
    <col min="10" max="10" width="14.109375" customWidth="1"/>
    <col min="11" max="11" width="11.33203125" customWidth="1"/>
    <col min="12" max="12" width="35" customWidth="1"/>
    <col min="13" max="13" width="2.109375" hidden="1" customWidth="1"/>
    <col min="14" max="14" width="16.21875" customWidth="1"/>
  </cols>
  <sheetData>
    <row r="1" spans="1:14" ht="24" thickBot="1" x14ac:dyDescent="0.5">
      <c r="B1" s="8" t="s">
        <v>27</v>
      </c>
    </row>
    <row r="2" spans="1:14" ht="21" customHeight="1" x14ac:dyDescent="0.4">
      <c r="F2" s="288" t="s">
        <v>51</v>
      </c>
      <c r="G2" s="289"/>
      <c r="H2" s="288" t="s">
        <v>52</v>
      </c>
      <c r="I2" s="289"/>
      <c r="J2" s="288" t="s">
        <v>53</v>
      </c>
      <c r="K2" s="289"/>
    </row>
    <row r="3" spans="1:14" ht="54" customHeight="1" x14ac:dyDescent="0.35">
      <c r="A3" s="279" t="s">
        <v>0</v>
      </c>
      <c r="B3" s="279" t="s">
        <v>1</v>
      </c>
      <c r="C3" s="280" t="s">
        <v>2</v>
      </c>
      <c r="D3" s="280" t="s">
        <v>32</v>
      </c>
      <c r="E3" s="287" t="s">
        <v>34</v>
      </c>
      <c r="F3" s="285" t="s">
        <v>5</v>
      </c>
      <c r="G3" s="286"/>
      <c r="H3" s="285" t="s">
        <v>5</v>
      </c>
      <c r="I3" s="286"/>
      <c r="J3" s="285" t="s">
        <v>5</v>
      </c>
      <c r="K3" s="286"/>
      <c r="M3" s="30" t="s">
        <v>39</v>
      </c>
    </row>
    <row r="4" spans="1:14" ht="23.4" customHeight="1" x14ac:dyDescent="0.35">
      <c r="A4" s="279"/>
      <c r="B4" s="279"/>
      <c r="C4" s="280"/>
      <c r="D4" s="280"/>
      <c r="E4" s="287"/>
      <c r="F4" s="99" t="s">
        <v>3</v>
      </c>
      <c r="G4" s="100" t="s">
        <v>4</v>
      </c>
      <c r="H4" s="99" t="s">
        <v>75</v>
      </c>
      <c r="I4" s="100" t="s">
        <v>76</v>
      </c>
      <c r="J4" s="99" t="s">
        <v>73</v>
      </c>
      <c r="K4" s="100" t="s">
        <v>74</v>
      </c>
    </row>
    <row r="5" spans="1:14" ht="22.2" customHeight="1" x14ac:dyDescent="0.3">
      <c r="A5" s="9">
        <v>1</v>
      </c>
      <c r="B5" s="15" t="s">
        <v>9</v>
      </c>
      <c r="C5" s="16">
        <v>160</v>
      </c>
      <c r="D5" s="16">
        <f>166/12</f>
        <v>13.833333333333334</v>
      </c>
      <c r="E5" s="93" t="s">
        <v>10</v>
      </c>
      <c r="F5" s="101"/>
      <c r="G5" s="80">
        <f>C5*D5</f>
        <v>2213.3333333333335</v>
      </c>
      <c r="H5" s="102">
        <v>102.7</v>
      </c>
      <c r="I5" s="80"/>
      <c r="J5" s="102">
        <v>80.7</v>
      </c>
      <c r="K5" s="80"/>
      <c r="M5" s="41">
        <f>-C5*D5^2</f>
        <v>-30617.777777777777</v>
      </c>
    </row>
    <row r="6" spans="1:14" ht="22.2" customHeight="1" x14ac:dyDescent="0.3">
      <c r="A6" s="9">
        <v>2</v>
      </c>
      <c r="B6" s="15" t="s">
        <v>23</v>
      </c>
      <c r="C6" s="16">
        <v>52</v>
      </c>
      <c r="D6" s="16">
        <f>145/12</f>
        <v>12.083333333333334</v>
      </c>
      <c r="E6" s="93" t="s">
        <v>10</v>
      </c>
      <c r="F6" s="102"/>
      <c r="G6" s="80">
        <f>C6*D6</f>
        <v>628.33333333333337</v>
      </c>
      <c r="H6" s="102">
        <v>121.3</v>
      </c>
      <c r="I6" s="80"/>
      <c r="J6" s="102"/>
      <c r="K6" s="80"/>
      <c r="M6" s="41">
        <f>-C6*D6^2</f>
        <v>-7592.3611111111113</v>
      </c>
    </row>
    <row r="7" spans="1:14" ht="22.2" customHeight="1" x14ac:dyDescent="0.3">
      <c r="A7" s="9"/>
      <c r="B7" s="15" t="s">
        <v>50</v>
      </c>
      <c r="C7" s="16">
        <v>30</v>
      </c>
      <c r="D7" s="16">
        <v>15</v>
      </c>
      <c r="E7" s="93" t="s">
        <v>10</v>
      </c>
      <c r="F7" s="102"/>
      <c r="G7" s="80">
        <f>C7*D7</f>
        <v>450</v>
      </c>
      <c r="H7" s="102"/>
      <c r="I7" s="80"/>
      <c r="J7" s="102"/>
      <c r="K7" s="80"/>
      <c r="M7" s="41"/>
    </row>
    <row r="8" spans="1:14" ht="22.2" customHeight="1" x14ac:dyDescent="0.3">
      <c r="A8" s="9"/>
      <c r="B8" s="10" t="s">
        <v>55</v>
      </c>
      <c r="C8" s="11">
        <v>30</v>
      </c>
      <c r="D8" s="11">
        <v>4.5</v>
      </c>
      <c r="E8" s="71" t="s">
        <v>71</v>
      </c>
      <c r="F8" s="103"/>
      <c r="G8" s="78"/>
      <c r="H8" s="110"/>
      <c r="I8" s="111"/>
      <c r="J8" s="107"/>
      <c r="K8" s="112"/>
      <c r="L8" s="113"/>
    </row>
    <row r="9" spans="1:14" ht="22.2" hidden="1" customHeight="1" x14ac:dyDescent="0.3">
      <c r="A9" s="9">
        <v>3</v>
      </c>
      <c r="B9" s="10" t="s">
        <v>11</v>
      </c>
      <c r="C9" s="11">
        <v>242</v>
      </c>
      <c r="D9" s="11">
        <f>169.25/12</f>
        <v>14.104166666666666</v>
      </c>
      <c r="E9" s="71" t="s">
        <v>72</v>
      </c>
      <c r="F9" s="103">
        <v>0</v>
      </c>
      <c r="G9" s="78"/>
      <c r="H9" s="103"/>
      <c r="I9" s="78"/>
      <c r="J9" s="103"/>
      <c r="K9" s="78"/>
      <c r="L9" s="113"/>
      <c r="M9" s="41">
        <f>C9*D9^2</f>
        <v>48140.459201388883</v>
      </c>
    </row>
    <row r="10" spans="1:14" ht="51.6" customHeight="1" x14ac:dyDescent="0.3">
      <c r="A10" s="9">
        <v>5</v>
      </c>
      <c r="B10" s="67" t="s">
        <v>48</v>
      </c>
      <c r="C10" s="68">
        <f>99+185</f>
        <v>284</v>
      </c>
      <c r="D10" s="69">
        <v>14.4</v>
      </c>
      <c r="E10" s="94" t="s">
        <v>14</v>
      </c>
      <c r="F10" s="104">
        <f>C10*D10</f>
        <v>4089.6</v>
      </c>
      <c r="G10" s="105"/>
      <c r="H10" s="104"/>
      <c r="I10" s="105"/>
      <c r="J10" s="104"/>
      <c r="K10" s="105"/>
      <c r="L10" s="121" t="s">
        <v>83</v>
      </c>
      <c r="M10" s="41">
        <f>C10*D10^2</f>
        <v>58890.240000000005</v>
      </c>
      <c r="N10" s="70"/>
    </row>
    <row r="11" spans="1:14" ht="22.2" customHeight="1" x14ac:dyDescent="0.3">
      <c r="A11" s="9"/>
      <c r="B11" s="67" t="s">
        <v>78</v>
      </c>
      <c r="C11" s="68">
        <v>10</v>
      </c>
      <c r="D11" s="69">
        <v>6</v>
      </c>
      <c r="E11" s="94" t="s">
        <v>14</v>
      </c>
      <c r="F11" s="104">
        <f>C11*D11</f>
        <v>60</v>
      </c>
      <c r="G11" s="105"/>
      <c r="H11" s="104"/>
      <c r="I11" s="105"/>
      <c r="J11" s="104"/>
      <c r="K11" s="105"/>
      <c r="L11" s="113"/>
      <c r="M11" s="41"/>
    </row>
    <row r="12" spans="1:14" ht="22.2" customHeight="1" x14ac:dyDescent="0.3">
      <c r="A12" s="9">
        <v>6</v>
      </c>
      <c r="B12" s="10" t="s">
        <v>16</v>
      </c>
      <c r="C12" s="11">
        <v>339</v>
      </c>
      <c r="D12" s="11">
        <f>58/12</f>
        <v>4.833333333333333</v>
      </c>
      <c r="E12" s="71" t="s">
        <v>71</v>
      </c>
      <c r="F12" s="103"/>
      <c r="G12" s="78"/>
      <c r="H12" s="103"/>
      <c r="I12" s="78"/>
      <c r="J12" s="103"/>
      <c r="K12" s="78"/>
      <c r="L12" s="70"/>
      <c r="M12" s="41">
        <f>-C12*D12^2</f>
        <v>-7919.4166666666652</v>
      </c>
    </row>
    <row r="13" spans="1:14" ht="22.2" hidden="1" customHeight="1" x14ac:dyDescent="0.3">
      <c r="A13" s="9">
        <v>7</v>
      </c>
      <c r="B13" s="10" t="s">
        <v>17</v>
      </c>
      <c r="C13" s="11">
        <v>422.4</v>
      </c>
      <c r="D13" s="11">
        <f>58/12</f>
        <v>4.833333333333333</v>
      </c>
      <c r="E13" s="71" t="s">
        <v>72</v>
      </c>
      <c r="F13" s="103">
        <v>0</v>
      </c>
      <c r="G13" s="78"/>
      <c r="H13" s="103"/>
      <c r="I13" s="78"/>
      <c r="J13" s="103"/>
      <c r="K13" s="78"/>
      <c r="M13" s="41">
        <f>C13*D13^2</f>
        <v>9867.7333333333318</v>
      </c>
    </row>
    <row r="14" spans="1:14" ht="22.2" customHeight="1" x14ac:dyDescent="0.3">
      <c r="A14" s="9">
        <v>8</v>
      </c>
      <c r="B14" s="10" t="s">
        <v>18</v>
      </c>
      <c r="C14" s="11">
        <v>140</v>
      </c>
      <c r="D14" s="11">
        <f>61/12</f>
        <v>5.083333333333333</v>
      </c>
      <c r="E14" s="71" t="s">
        <v>71</v>
      </c>
      <c r="F14" s="103"/>
      <c r="G14" s="78"/>
      <c r="H14" s="103"/>
      <c r="I14" s="78"/>
      <c r="J14" s="103"/>
      <c r="K14" s="78"/>
      <c r="M14" s="41">
        <f>-C14*D14^2</f>
        <v>-3617.6388888888887</v>
      </c>
    </row>
    <row r="15" spans="1:14" ht="30.6" customHeight="1" thickBot="1" x14ac:dyDescent="0.35">
      <c r="A15" s="9"/>
      <c r="B15" s="127" t="s">
        <v>95</v>
      </c>
      <c r="C15" s="72"/>
      <c r="D15" s="72"/>
      <c r="E15" s="95"/>
      <c r="F15" s="106"/>
      <c r="G15" s="166">
        <f>SUM(F10:F11)-SUM(G5:G7)</f>
        <v>857.93333333333339</v>
      </c>
      <c r="H15" s="167">
        <f>SUM(H5:H6)</f>
        <v>224</v>
      </c>
      <c r="I15" s="168"/>
      <c r="J15" s="167">
        <f>J5</f>
        <v>80.7</v>
      </c>
      <c r="K15" s="168"/>
      <c r="M15" s="41"/>
    </row>
    <row r="16" spans="1:14" ht="28.2" customHeight="1" x14ac:dyDescent="0.3">
      <c r="A16" s="71"/>
      <c r="B16" s="75" t="s">
        <v>81</v>
      </c>
      <c r="C16" s="76"/>
      <c r="D16" s="76"/>
      <c r="E16" s="96"/>
      <c r="F16" s="107"/>
      <c r="G16" s="169">
        <f>G15/5</f>
        <v>171.58666666666667</v>
      </c>
      <c r="H16" s="114"/>
      <c r="I16" s="111"/>
      <c r="J16" s="114"/>
      <c r="K16" s="111"/>
    </row>
    <row r="17" spans="1:14" ht="28.2" hidden="1" customHeight="1" x14ac:dyDescent="0.3">
      <c r="A17" s="71"/>
      <c r="B17" s="77"/>
      <c r="C17" s="11"/>
      <c r="D17" s="11"/>
      <c r="E17" s="96"/>
      <c r="F17" s="107"/>
      <c r="G17" s="78"/>
      <c r="H17" s="115"/>
      <c r="I17" s="111"/>
      <c r="J17" s="115"/>
      <c r="K17" s="111"/>
      <c r="L17" s="73" t="s">
        <v>40</v>
      </c>
      <c r="M17" s="42" t="s">
        <v>43</v>
      </c>
      <c r="N17" s="46" t="s">
        <v>44</v>
      </c>
    </row>
    <row r="18" spans="1:14" ht="22.2" hidden="1" customHeight="1" x14ac:dyDescent="0.3">
      <c r="A18" s="71" t="s">
        <v>36</v>
      </c>
      <c r="B18" s="79" t="s">
        <v>22</v>
      </c>
      <c r="C18" s="16">
        <v>350</v>
      </c>
      <c r="D18" s="16">
        <v>4.8</v>
      </c>
      <c r="E18" s="93" t="s">
        <v>14</v>
      </c>
      <c r="F18" s="107"/>
      <c r="G18" s="80">
        <f>C18*D18</f>
        <v>1680</v>
      </c>
      <c r="H18" s="116"/>
      <c r="I18" s="111"/>
      <c r="J18" s="116"/>
      <c r="K18" s="111"/>
      <c r="L18" s="74" t="e">
        <f>-$C$5-$C$6-$C$7+$C$9+$C$10-$C$12+$C$13-$C$14+#REF!+#REF!+#REF!+C18+#REF!</f>
        <v>#REF!</v>
      </c>
      <c r="M18" s="44" t="e">
        <f>SUM(M5:M14)+(C18*D18^2)+(#REF!*4.5^2)</f>
        <v>#REF!</v>
      </c>
    </row>
    <row r="19" spans="1:14" ht="22.2" hidden="1" customHeight="1" x14ac:dyDescent="0.3">
      <c r="A19" s="71" t="s">
        <v>37</v>
      </c>
      <c r="B19" s="81" t="s">
        <v>20</v>
      </c>
      <c r="C19" s="20">
        <v>350</v>
      </c>
      <c r="D19" s="20">
        <f>-20/12</f>
        <v>-1.6666666666666667</v>
      </c>
      <c r="E19" s="97" t="s">
        <v>14</v>
      </c>
      <c r="F19" s="107"/>
      <c r="G19" s="82"/>
      <c r="H19" s="117"/>
      <c r="I19" s="111"/>
      <c r="J19" s="117"/>
      <c r="K19" s="111"/>
      <c r="L19" s="74" t="e">
        <f>-$C$5-$C$6-$C$7+$C$9+$C$10-$C$12+$C$13-$C$14+#REF!+#REF!+#REF!+C19+#REF!</f>
        <v>#REF!</v>
      </c>
      <c r="M19" s="44" t="e">
        <f>SUM(M5:M14)+(C19*D19^2)+(#REF!*4.5^2)</f>
        <v>#REF!</v>
      </c>
    </row>
    <row r="20" spans="1:14" ht="24" hidden="1" customHeight="1" x14ac:dyDescent="0.3">
      <c r="A20" s="71" t="s">
        <v>38</v>
      </c>
      <c r="B20" s="83" t="s">
        <v>21</v>
      </c>
      <c r="C20" s="28">
        <v>350</v>
      </c>
      <c r="D20" s="27">
        <f>-54/12</f>
        <v>-4.5</v>
      </c>
      <c r="E20" s="98" t="s">
        <v>14</v>
      </c>
      <c r="F20" s="107"/>
      <c r="G20" s="84"/>
      <c r="H20" s="118"/>
      <c r="I20" s="111"/>
      <c r="J20" s="118"/>
      <c r="K20" s="111"/>
      <c r="L20" s="74" t="e">
        <f>-$C$5-$C$6-$C$7+$C$9+$C$10-$C$12+$C$13-$C$14+#REF!+#REF!+#REF!+C20+#REF!</f>
        <v>#REF!</v>
      </c>
      <c r="M20" s="44" t="e">
        <f>SUM(M5:M14)+(C20*D20^2)+(#REF!*4.5^2)</f>
        <v>#REF!</v>
      </c>
    </row>
    <row r="21" spans="1:14" ht="27" hidden="1" customHeight="1" x14ac:dyDescent="0.3">
      <c r="A21" s="71" t="s">
        <v>42</v>
      </c>
      <c r="B21" s="83" t="s">
        <v>25</v>
      </c>
      <c r="C21" s="28">
        <v>700</v>
      </c>
      <c r="D21" s="27">
        <v>-0.28000000000000003</v>
      </c>
      <c r="E21" s="98" t="s">
        <v>10</v>
      </c>
      <c r="F21" s="107"/>
      <c r="G21" s="84">
        <f>ABS(C21*D21)</f>
        <v>196.00000000000003</v>
      </c>
      <c r="H21" s="118"/>
      <c r="I21" s="111"/>
      <c r="J21" s="118"/>
      <c r="K21" s="111"/>
      <c r="L21" s="74" t="e">
        <f>-$C$5-$C$6-$C$7+$C$9+$C$10-$C$12+$C$13-$C$14+#REF!+#REF!+#REF!-C21+#REF!</f>
        <v>#REF!</v>
      </c>
      <c r="M21" s="44" t="e">
        <f>SUM(M5:M14)+(C20*D20^2)+(#REF!*4.5^2)-(C21*D21^2)</f>
        <v>#REF!</v>
      </c>
    </row>
    <row r="22" spans="1:14" ht="43.8" thickBot="1" x14ac:dyDescent="0.35">
      <c r="B22" s="85" t="s">
        <v>79</v>
      </c>
      <c r="C22" s="86"/>
      <c r="D22" s="86"/>
      <c r="E22" s="96"/>
      <c r="F22" s="107"/>
      <c r="G22" s="122" t="s">
        <v>80</v>
      </c>
      <c r="H22" s="119" t="s">
        <v>109</v>
      </c>
      <c r="I22" s="111"/>
      <c r="J22" s="119" t="s">
        <v>110</v>
      </c>
      <c r="K22" s="111"/>
      <c r="L22" s="30" t="s">
        <v>82</v>
      </c>
    </row>
    <row r="23" spans="1:14" ht="34.200000000000003" customHeight="1" thickBot="1" x14ac:dyDescent="0.35">
      <c r="B23" s="5"/>
      <c r="C23" s="5"/>
      <c r="F23" s="108"/>
      <c r="G23" s="109"/>
      <c r="H23" s="120"/>
      <c r="I23" s="87"/>
      <c r="J23" s="120"/>
      <c r="K23" s="50"/>
    </row>
    <row r="25" spans="1:14" ht="15.6" x14ac:dyDescent="0.3">
      <c r="B25" s="3"/>
      <c r="M25" s="45"/>
    </row>
    <row r="26" spans="1:14" s="2" customFormat="1" ht="49.8" customHeight="1" x14ac:dyDescent="0.3">
      <c r="A26" s="4"/>
      <c r="B26" s="282"/>
      <c r="C26" s="282"/>
      <c r="D26" s="282"/>
      <c r="E26" s="282"/>
      <c r="F26" s="282"/>
      <c r="G26" s="282"/>
      <c r="H26" s="47"/>
      <c r="I26" s="47"/>
      <c r="J26" s="47"/>
      <c r="K26" s="47"/>
    </row>
    <row r="27" spans="1:14" s="2" customFormat="1" ht="36" customHeight="1" x14ac:dyDescent="0.3">
      <c r="A27" s="4"/>
      <c r="B27" s="282"/>
      <c r="C27" s="282"/>
      <c r="D27" s="282"/>
      <c r="E27" s="282"/>
      <c r="F27" s="282"/>
      <c r="G27" s="282"/>
      <c r="H27" s="47"/>
      <c r="I27" s="47"/>
      <c r="J27" s="47"/>
      <c r="K27" s="47"/>
    </row>
    <row r="28" spans="1:14" s="2" customFormat="1" ht="36" customHeight="1" x14ac:dyDescent="0.3">
      <c r="A28" s="4"/>
      <c r="B28" s="282"/>
      <c r="C28" s="282"/>
      <c r="D28" s="282"/>
      <c r="E28" s="282"/>
      <c r="F28" s="282"/>
      <c r="G28" s="282"/>
      <c r="H28" s="47"/>
      <c r="I28" s="47"/>
      <c r="J28" s="47"/>
      <c r="K28" s="47"/>
    </row>
    <row r="29" spans="1:14" s="2" customFormat="1" ht="36" customHeight="1" x14ac:dyDescent="0.3">
      <c r="A29" s="4"/>
      <c r="B29" s="282"/>
      <c r="C29" s="282"/>
      <c r="D29" s="282"/>
      <c r="E29" s="282"/>
      <c r="F29" s="282"/>
      <c r="G29" s="282"/>
      <c r="H29" s="47"/>
      <c r="I29" s="47"/>
      <c r="J29" s="47"/>
      <c r="K29" s="47"/>
    </row>
  </sheetData>
  <mergeCells count="15">
    <mergeCell ref="F2:G2"/>
    <mergeCell ref="H2:I2"/>
    <mergeCell ref="J2:K2"/>
    <mergeCell ref="B26:G26"/>
    <mergeCell ref="B27:G27"/>
    <mergeCell ref="B28:G28"/>
    <mergeCell ref="B29:G29"/>
    <mergeCell ref="H3:I3"/>
    <mergeCell ref="J3:K3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2"/>
  <sheetViews>
    <sheetView topLeftCell="B1" zoomScale="90" zoomScaleNormal="90" zoomScaleSheetLayoutView="100" workbookViewId="0">
      <pane xSplit="9" ySplit="5" topLeftCell="K34" activePane="bottomRight" state="frozen"/>
      <selection activeCell="B1" sqref="B1"/>
      <selection pane="topRight" activeCell="K1" sqref="K1"/>
      <selection pane="bottomLeft" activeCell="B6" sqref="B6"/>
      <selection pane="bottomRight" activeCell="D39" sqref="D39"/>
    </sheetView>
  </sheetViews>
  <sheetFormatPr defaultRowHeight="14.4" x14ac:dyDescent="0.3"/>
  <cols>
    <col min="1" max="1" width="8.5546875" hidden="1" customWidth="1"/>
    <col min="2" max="2" width="28" style="186" customWidth="1"/>
    <col min="3" max="3" width="9.77734375" style="186" customWidth="1"/>
    <col min="4" max="4" width="10.21875" customWidth="1"/>
    <col min="5" max="6" width="10.21875" style="60" customWidth="1"/>
    <col min="7" max="8" width="9.77734375" style="60" customWidth="1"/>
    <col min="9" max="9" width="10.5546875" style="60" customWidth="1"/>
    <col min="10" max="10" width="10.5546875" style="197" customWidth="1"/>
    <col min="11" max="11" width="10.5546875" style="60" customWidth="1"/>
    <col min="12" max="12" width="10.5546875" style="197" customWidth="1"/>
    <col min="13" max="13" width="13.109375" customWidth="1"/>
    <col min="14" max="14" width="10.44140625" style="193" customWidth="1"/>
    <col min="15" max="15" width="10.5546875" style="193" customWidth="1"/>
    <col min="16" max="16" width="11.88671875" customWidth="1"/>
    <col min="17" max="19" width="14.21875" style="193" customWidth="1"/>
    <col min="20" max="20" width="15.44140625" customWidth="1"/>
    <col min="21" max="21" width="18" customWidth="1"/>
    <col min="22" max="22" width="19.33203125" customWidth="1"/>
    <col min="23" max="23" width="16.21875" customWidth="1"/>
  </cols>
  <sheetData>
    <row r="1" spans="1:22" ht="70.2" x14ac:dyDescent="0.45">
      <c r="A1" t="s">
        <v>54</v>
      </c>
      <c r="B1" s="185" t="s">
        <v>122</v>
      </c>
      <c r="C1" s="185"/>
    </row>
    <row r="2" spans="1:22" ht="21" customHeight="1" thickBot="1" x14ac:dyDescent="0.35"/>
    <row r="3" spans="1:22" ht="81.599999999999994" customHeight="1" x14ac:dyDescent="0.35">
      <c r="A3" s="180" t="s">
        <v>0</v>
      </c>
      <c r="B3" s="187" t="s">
        <v>1</v>
      </c>
      <c r="C3" s="188" t="s">
        <v>124</v>
      </c>
      <c r="D3" s="181" t="s">
        <v>119</v>
      </c>
      <c r="E3" s="189" t="s">
        <v>126</v>
      </c>
      <c r="F3" s="189" t="s">
        <v>120</v>
      </c>
      <c r="G3" s="290" t="s">
        <v>133</v>
      </c>
      <c r="H3" s="291"/>
      <c r="I3" s="290" t="s">
        <v>134</v>
      </c>
      <c r="J3" s="291"/>
      <c r="K3" s="290" t="s">
        <v>135</v>
      </c>
      <c r="L3" s="291"/>
      <c r="M3" s="182" t="s">
        <v>123</v>
      </c>
      <c r="N3" s="292" t="s">
        <v>5</v>
      </c>
      <c r="O3" s="293"/>
      <c r="P3" s="183" t="s">
        <v>19</v>
      </c>
      <c r="Q3" s="194" t="s">
        <v>121</v>
      </c>
      <c r="R3" s="194" t="s">
        <v>127</v>
      </c>
      <c r="S3" s="194" t="s">
        <v>128</v>
      </c>
      <c r="T3" s="244" t="s">
        <v>182</v>
      </c>
      <c r="V3" s="30"/>
    </row>
    <row r="4" spans="1:22" ht="23.4" customHeight="1" x14ac:dyDescent="0.35">
      <c r="A4" s="180"/>
      <c r="B4" s="187"/>
      <c r="C4" s="187"/>
      <c r="D4" s="181"/>
      <c r="E4" s="189"/>
      <c r="F4" s="189"/>
      <c r="G4" s="191" t="s">
        <v>3</v>
      </c>
      <c r="H4" s="192" t="s">
        <v>4</v>
      </c>
      <c r="I4" s="191" t="s">
        <v>3</v>
      </c>
      <c r="J4" s="198" t="s">
        <v>4</v>
      </c>
      <c r="K4" s="191" t="s">
        <v>3</v>
      </c>
      <c r="L4" s="198" t="s">
        <v>4</v>
      </c>
      <c r="M4" s="182"/>
      <c r="N4" s="204" t="s">
        <v>3</v>
      </c>
      <c r="O4" s="205" t="s">
        <v>4</v>
      </c>
      <c r="P4" s="184"/>
      <c r="Q4" s="195"/>
      <c r="R4" s="195"/>
      <c r="S4" s="195"/>
    </row>
    <row r="5" spans="1:22" ht="23.4" customHeight="1" x14ac:dyDescent="0.35">
      <c r="A5" s="88"/>
      <c r="B5" s="187" t="s">
        <v>130</v>
      </c>
      <c r="C5" s="187" t="s">
        <v>125</v>
      </c>
      <c r="D5" s="91">
        <v>257</v>
      </c>
      <c r="E5" s="190">
        <f>D5*0.453</f>
        <v>116.42100000000001</v>
      </c>
      <c r="F5" s="190">
        <v>235</v>
      </c>
      <c r="G5" s="190"/>
      <c r="H5" s="190">
        <v>7.1</v>
      </c>
      <c r="I5" s="190">
        <f>G5*0.3048</f>
        <v>0</v>
      </c>
      <c r="J5" s="199">
        <f>H5*0.3048</f>
        <v>2.1640799999999998</v>
      </c>
      <c r="K5" s="190">
        <f>I5*0.3048</f>
        <v>0</v>
      </c>
      <c r="L5" s="199">
        <f>J5*0.3048</f>
        <v>0.65961158399999997</v>
      </c>
      <c r="M5" s="92"/>
      <c r="N5" s="204"/>
      <c r="O5" s="205">
        <f>D5*H5</f>
        <v>1824.6999999999998</v>
      </c>
      <c r="P5" s="89"/>
      <c r="Q5" s="196">
        <v>1180</v>
      </c>
      <c r="R5" s="196">
        <f>Q5*E5/F5</f>
        <v>584.58204255319151</v>
      </c>
      <c r="S5" s="196">
        <f>E5*J5^2</f>
        <v>545.22774556813431</v>
      </c>
      <c r="T5" s="245">
        <f>R5</f>
        <v>584.58204255319151</v>
      </c>
    </row>
    <row r="6" spans="1:22" ht="23.4" customHeight="1" x14ac:dyDescent="0.35">
      <c r="A6" s="88"/>
      <c r="B6" s="187" t="s">
        <v>129</v>
      </c>
      <c r="C6" s="187" t="s">
        <v>125</v>
      </c>
      <c r="D6" s="91">
        <v>2936</v>
      </c>
      <c r="E6" s="190">
        <f>D6*0.453</f>
        <v>1330.008</v>
      </c>
      <c r="F6" s="190" t="s">
        <v>131</v>
      </c>
      <c r="G6" s="190"/>
      <c r="H6" s="190">
        <v>7.3</v>
      </c>
      <c r="I6" s="190"/>
      <c r="J6" s="199">
        <f>H6*0.3048</f>
        <v>2.2250399999999999</v>
      </c>
      <c r="K6" s="190"/>
      <c r="L6" s="199">
        <f>J6*0.3048</f>
        <v>0.67819219200000003</v>
      </c>
      <c r="M6" s="92"/>
      <c r="N6" s="204"/>
      <c r="O6" s="205">
        <f>D6*H6</f>
        <v>21432.799999999999</v>
      </c>
      <c r="P6" s="89"/>
      <c r="Q6" s="196" t="s">
        <v>72</v>
      </c>
      <c r="R6" s="196" t="s">
        <v>72</v>
      </c>
      <c r="S6" s="196">
        <f>E6*J6^2</f>
        <v>6584.6075985520129</v>
      </c>
      <c r="T6" s="245">
        <f>S6</f>
        <v>6584.6075985520129</v>
      </c>
    </row>
    <row r="7" spans="1:22" ht="23.4" customHeight="1" thickBot="1" x14ac:dyDescent="0.4">
      <c r="A7" s="88"/>
      <c r="B7" s="208" t="s">
        <v>132</v>
      </c>
      <c r="C7" s="187" t="s">
        <v>125</v>
      </c>
      <c r="D7" s="91">
        <v>2386</v>
      </c>
      <c r="E7" s="190">
        <f>D7*0.453</f>
        <v>1080.8579999999999</v>
      </c>
      <c r="F7" s="190">
        <v>1222</v>
      </c>
      <c r="G7" s="190"/>
      <c r="H7" s="190">
        <v>6.2</v>
      </c>
      <c r="I7" s="190"/>
      <c r="J7" s="199">
        <f>H7*0.3048</f>
        <v>1.8897600000000001</v>
      </c>
      <c r="K7" s="190"/>
      <c r="L7" s="199">
        <v>1.89</v>
      </c>
      <c r="M7" s="92"/>
      <c r="N7" s="204"/>
      <c r="O7" s="205"/>
      <c r="P7" s="89"/>
      <c r="Q7" s="196">
        <v>4643</v>
      </c>
      <c r="R7" s="196">
        <f>Q7*E7/F7</f>
        <v>4106.7297004909988</v>
      </c>
      <c r="S7" s="196">
        <f>E7*J7^2</f>
        <v>3859.952369679821</v>
      </c>
      <c r="T7" s="245">
        <f>R7</f>
        <v>4106.7297004909988</v>
      </c>
    </row>
    <row r="8" spans="1:22" ht="23.4" customHeight="1" x14ac:dyDescent="0.35">
      <c r="A8" s="206"/>
      <c r="B8" s="210" t="s">
        <v>136</v>
      </c>
      <c r="C8" s="207" t="s">
        <v>125</v>
      </c>
      <c r="D8" s="91">
        <v>4305</v>
      </c>
      <c r="E8" s="190">
        <f t="shared" ref="E8:E38" si="0">D8*0.453</f>
        <v>1950.165</v>
      </c>
      <c r="F8" s="190">
        <v>1737</v>
      </c>
      <c r="G8" s="190"/>
      <c r="H8" s="190"/>
      <c r="I8" s="190"/>
      <c r="J8" s="199">
        <f t="shared" ref="J8:J11" si="1">H8*0.3048</f>
        <v>0</v>
      </c>
      <c r="K8" s="190"/>
      <c r="L8" s="199">
        <v>0.42</v>
      </c>
      <c r="M8" s="92"/>
      <c r="N8" s="204"/>
      <c r="O8" s="205"/>
      <c r="P8" s="89"/>
      <c r="Q8" s="196">
        <v>2246</v>
      </c>
      <c r="R8" s="196">
        <f>Q8*E8/F8</f>
        <v>2521.6295854922278</v>
      </c>
      <c r="S8" s="196">
        <f>E8*J8^2</f>
        <v>0</v>
      </c>
      <c r="T8" s="245">
        <f>R8</f>
        <v>2521.6295854922278</v>
      </c>
    </row>
    <row r="9" spans="1:22" ht="23.4" customHeight="1" x14ac:dyDescent="0.35">
      <c r="A9" s="206"/>
      <c r="B9" s="211" t="s">
        <v>137</v>
      </c>
      <c r="C9" s="207" t="s">
        <v>125</v>
      </c>
      <c r="D9" s="91">
        <v>3977</v>
      </c>
      <c r="E9" s="190">
        <f t="shared" si="0"/>
        <v>1801.5810000000001</v>
      </c>
      <c r="F9" s="190">
        <v>1760</v>
      </c>
      <c r="G9" s="190"/>
      <c r="H9" s="190"/>
      <c r="I9" s="190"/>
      <c r="J9" s="199">
        <f t="shared" si="1"/>
        <v>0</v>
      </c>
      <c r="K9" s="190">
        <v>2.4300000000000002</v>
      </c>
      <c r="L9" s="199"/>
      <c r="M9" s="92"/>
      <c r="N9" s="204"/>
      <c r="O9" s="205"/>
      <c r="P9" s="89"/>
      <c r="Q9" s="196">
        <v>13210</v>
      </c>
      <c r="R9" s="196">
        <f>Q9*E9/F9</f>
        <v>13522.093755681819</v>
      </c>
      <c r="S9" s="196">
        <f t="shared" ref="S9" si="2">E9*J9^2</f>
        <v>0</v>
      </c>
      <c r="T9" s="245">
        <f>R9</f>
        <v>13522.093755681819</v>
      </c>
    </row>
    <row r="10" spans="1:22" ht="23.4" customHeight="1" thickBot="1" x14ac:dyDescent="0.4">
      <c r="A10" s="206"/>
      <c r="B10" s="212" t="s">
        <v>138</v>
      </c>
      <c r="C10" s="207" t="s">
        <v>125</v>
      </c>
      <c r="D10" s="190">
        <f>D9+D8</f>
        <v>8282</v>
      </c>
      <c r="E10" s="190">
        <f t="shared" si="0"/>
        <v>3751.7460000000001</v>
      </c>
      <c r="F10" s="190">
        <f>F9+F8</f>
        <v>3497</v>
      </c>
      <c r="G10" s="190">
        <v>3.13</v>
      </c>
      <c r="H10" s="190"/>
      <c r="I10" s="190">
        <f>G10*0.3048</f>
        <v>0.95402399999999998</v>
      </c>
      <c r="J10" s="199">
        <f t="shared" si="1"/>
        <v>0</v>
      </c>
      <c r="K10" s="190">
        <v>1.01</v>
      </c>
      <c r="L10" s="199"/>
      <c r="M10" s="92"/>
      <c r="N10" s="204"/>
      <c r="O10" s="205"/>
      <c r="P10" s="89"/>
      <c r="Q10" s="196">
        <v>15455</v>
      </c>
      <c r="R10" s="196">
        <f>Q10*E10/F10</f>
        <v>16580.850566199599</v>
      </c>
      <c r="S10" s="213" t="s">
        <v>152</v>
      </c>
      <c r="T10" s="246"/>
    </row>
    <row r="11" spans="1:22" ht="23.4" customHeight="1" x14ac:dyDescent="0.35">
      <c r="A11" s="88"/>
      <c r="B11" s="209" t="s">
        <v>139</v>
      </c>
      <c r="C11" s="187" t="s">
        <v>125</v>
      </c>
      <c r="D11" s="91">
        <v>700</v>
      </c>
      <c r="E11" s="190">
        <f t="shared" si="0"/>
        <v>317.10000000000002</v>
      </c>
      <c r="F11" s="190">
        <f>2*225</f>
        <v>450</v>
      </c>
      <c r="G11" s="190"/>
      <c r="H11" s="190">
        <v>0.28000000000000003</v>
      </c>
      <c r="I11" s="190"/>
      <c r="J11" s="199">
        <f t="shared" si="1"/>
        <v>8.5344000000000017E-2</v>
      </c>
      <c r="K11" s="190"/>
      <c r="L11" s="199"/>
      <c r="M11" s="92"/>
      <c r="N11" s="204"/>
      <c r="O11" s="205"/>
      <c r="P11" s="89"/>
      <c r="Q11" s="196">
        <f>2*827</f>
        <v>1654</v>
      </c>
      <c r="R11" s="196">
        <f>Q11*E11/F11</f>
        <v>1165.5186666666668</v>
      </c>
      <c r="S11" s="196"/>
      <c r="T11" s="245">
        <f>R11</f>
        <v>1165.5186666666668</v>
      </c>
    </row>
    <row r="12" spans="1:22" ht="23.4" customHeight="1" x14ac:dyDescent="0.35">
      <c r="A12" s="88"/>
      <c r="B12" s="209" t="s">
        <v>156</v>
      </c>
      <c r="C12" s="187" t="s">
        <v>125</v>
      </c>
      <c r="D12" s="91">
        <v>30</v>
      </c>
      <c r="E12" s="190">
        <f t="shared" si="0"/>
        <v>13.59</v>
      </c>
      <c r="F12" s="190"/>
      <c r="G12" s="190">
        <v>1.4</v>
      </c>
      <c r="H12" s="190"/>
      <c r="I12" s="190">
        <f>G12*0.3048</f>
        <v>0.42671999999999999</v>
      </c>
      <c r="J12" s="199"/>
      <c r="K12" s="190"/>
      <c r="L12" s="199"/>
      <c r="M12" s="92"/>
      <c r="N12" s="204"/>
      <c r="O12" s="205"/>
      <c r="P12" s="89"/>
      <c r="Q12" s="196"/>
      <c r="R12" s="196"/>
      <c r="S12" s="196">
        <f>E12*I12^2</f>
        <v>2.4746025346559999</v>
      </c>
      <c r="T12" s="245">
        <f>S12</f>
        <v>2.4746025346559999</v>
      </c>
    </row>
    <row r="13" spans="1:22" ht="23.4" customHeight="1" x14ac:dyDescent="0.35">
      <c r="A13" s="88"/>
      <c r="B13" s="187" t="s">
        <v>141</v>
      </c>
      <c r="C13" s="187" t="s">
        <v>125</v>
      </c>
      <c r="D13" s="91">
        <v>230</v>
      </c>
      <c r="E13" s="190">
        <f t="shared" si="0"/>
        <v>104.19</v>
      </c>
      <c r="F13" s="190">
        <v>170</v>
      </c>
      <c r="G13" s="190">
        <v>4.87</v>
      </c>
      <c r="H13" s="190"/>
      <c r="I13" s="190">
        <f>G13*0.3048</f>
        <v>1.4843760000000001</v>
      </c>
      <c r="J13" s="199"/>
      <c r="K13" s="190"/>
      <c r="L13" s="199"/>
      <c r="M13" s="92"/>
      <c r="N13" s="204"/>
      <c r="O13" s="205"/>
      <c r="P13" s="89"/>
      <c r="Q13" s="196">
        <v>439</v>
      </c>
      <c r="R13" s="196">
        <f>Q13*E13/F13</f>
        <v>269.05535294117647</v>
      </c>
      <c r="S13" s="196">
        <f>E13*I13^2</f>
        <v>229.56934007588549</v>
      </c>
      <c r="T13" s="245">
        <f>R13</f>
        <v>269.05535294117647</v>
      </c>
    </row>
    <row r="14" spans="1:22" ht="23.4" customHeight="1" x14ac:dyDescent="0.35">
      <c r="A14" s="88"/>
      <c r="B14" s="187" t="s">
        <v>142</v>
      </c>
      <c r="C14" s="187" t="s">
        <v>125</v>
      </c>
      <c r="D14" s="91">
        <v>93</v>
      </c>
      <c r="E14" s="190">
        <f t="shared" si="0"/>
        <v>42.128999999999998</v>
      </c>
      <c r="F14" s="190"/>
      <c r="G14" s="190"/>
      <c r="H14" s="190">
        <v>0.39</v>
      </c>
      <c r="I14" s="190"/>
      <c r="J14" s="199">
        <f t="shared" ref="J14" si="3">H14*0.3048</f>
        <v>0.11887200000000001</v>
      </c>
      <c r="K14" s="190"/>
      <c r="L14" s="199"/>
      <c r="M14" s="92"/>
      <c r="N14" s="204"/>
      <c r="O14" s="205"/>
      <c r="P14" s="89"/>
      <c r="Q14" s="196"/>
      <c r="R14" s="196"/>
      <c r="S14" s="196">
        <f>E14*J14^2</f>
        <v>0.595306041385536</v>
      </c>
      <c r="T14" s="245">
        <f>S14</f>
        <v>0.595306041385536</v>
      </c>
    </row>
    <row r="15" spans="1:22" ht="23.4" customHeight="1" x14ac:dyDescent="0.35">
      <c r="A15" s="88"/>
      <c r="B15" s="187" t="s">
        <v>143</v>
      </c>
      <c r="C15" s="187" t="s">
        <v>125</v>
      </c>
      <c r="D15" s="91" t="s">
        <v>72</v>
      </c>
      <c r="E15" s="190"/>
      <c r="F15" s="190">
        <v>191</v>
      </c>
      <c r="G15" s="190">
        <v>14</v>
      </c>
      <c r="H15" s="190"/>
      <c r="I15" s="190">
        <v>4.2</v>
      </c>
      <c r="J15" s="199"/>
      <c r="K15" s="190">
        <v>4.25</v>
      </c>
      <c r="L15" s="199"/>
      <c r="M15" s="92"/>
      <c r="N15" s="204"/>
      <c r="O15" s="205"/>
      <c r="P15" s="89"/>
      <c r="Q15" s="196">
        <v>3472</v>
      </c>
      <c r="R15" s="196"/>
      <c r="S15" s="196">
        <f>F15*I15^2</f>
        <v>3369.2400000000002</v>
      </c>
      <c r="T15" s="245">
        <f>Q15</f>
        <v>3472</v>
      </c>
    </row>
    <row r="16" spans="1:22" ht="23.4" customHeight="1" x14ac:dyDescent="0.35">
      <c r="A16" s="88"/>
      <c r="B16" s="187" t="s">
        <v>144</v>
      </c>
      <c r="C16" s="187" t="s">
        <v>125</v>
      </c>
      <c r="D16" s="91">
        <v>8</v>
      </c>
      <c r="E16" s="190">
        <f t="shared" si="0"/>
        <v>3.6240000000000001</v>
      </c>
      <c r="F16" s="190"/>
      <c r="G16" s="190">
        <v>14</v>
      </c>
      <c r="H16" s="190"/>
      <c r="I16" s="190">
        <f>G16*0.3048</f>
        <v>4.2671999999999999</v>
      </c>
      <c r="J16" s="199"/>
      <c r="K16" s="190"/>
      <c r="L16" s="199"/>
      <c r="M16" s="92"/>
      <c r="N16" s="204"/>
      <c r="O16" s="205"/>
      <c r="P16" s="89"/>
      <c r="Q16" s="196"/>
      <c r="R16" s="196"/>
      <c r="S16" s="196">
        <f>E16*I16^2</f>
        <v>65.989400924160009</v>
      </c>
      <c r="T16" s="245">
        <f t="shared" ref="T16:T22" si="4">S16</f>
        <v>65.989400924160009</v>
      </c>
    </row>
    <row r="17" spans="1:20" ht="23.4" customHeight="1" x14ac:dyDescent="0.35">
      <c r="A17" s="88"/>
      <c r="B17" s="187" t="s">
        <v>145</v>
      </c>
      <c r="C17" s="187" t="s">
        <v>125</v>
      </c>
      <c r="D17" s="91">
        <v>34</v>
      </c>
      <c r="E17" s="190">
        <f t="shared" si="0"/>
        <v>15.402000000000001</v>
      </c>
      <c r="F17" s="190"/>
      <c r="G17" s="190">
        <v>1.4</v>
      </c>
      <c r="H17" s="190"/>
      <c r="I17" s="190">
        <f t="shared" ref="I17:I21" si="5">G17*0.3048</f>
        <v>0.42671999999999999</v>
      </c>
      <c r="J17" s="199"/>
      <c r="K17" s="190"/>
      <c r="L17" s="199"/>
      <c r="M17" s="92"/>
      <c r="N17" s="204"/>
      <c r="O17" s="205"/>
      <c r="P17" s="89"/>
      <c r="Q17" s="196"/>
      <c r="R17" s="196"/>
      <c r="S17" s="196">
        <f t="shared" ref="S17:S19" si="6">E17*I17^2</f>
        <v>2.8045495392768003</v>
      </c>
      <c r="T17" s="245">
        <f t="shared" si="4"/>
        <v>2.8045495392768003</v>
      </c>
    </row>
    <row r="18" spans="1:20" ht="23.4" customHeight="1" x14ac:dyDescent="0.35">
      <c r="A18" s="88"/>
      <c r="B18" s="187" t="s">
        <v>146</v>
      </c>
      <c r="C18" s="187" t="s">
        <v>125</v>
      </c>
      <c r="D18" s="91">
        <v>18.5</v>
      </c>
      <c r="E18" s="190">
        <f t="shared" si="0"/>
        <v>8.3804999999999996</v>
      </c>
      <c r="F18" s="190"/>
      <c r="G18" s="190">
        <v>2</v>
      </c>
      <c r="H18" s="190"/>
      <c r="I18" s="190">
        <f t="shared" si="5"/>
        <v>0.60960000000000003</v>
      </c>
      <c r="J18" s="199"/>
      <c r="K18" s="190"/>
      <c r="L18" s="199"/>
      <c r="M18" s="92"/>
      <c r="N18" s="204"/>
      <c r="O18" s="205"/>
      <c r="P18" s="89"/>
      <c r="Q18" s="196"/>
      <c r="R18" s="196"/>
      <c r="S18" s="196">
        <f t="shared" si="6"/>
        <v>3.1142957068800001</v>
      </c>
      <c r="T18" s="245">
        <f t="shared" si="4"/>
        <v>3.1142957068800001</v>
      </c>
    </row>
    <row r="19" spans="1:20" ht="23.4" customHeight="1" x14ac:dyDescent="0.35">
      <c r="A19" s="88"/>
      <c r="B19" s="187" t="s">
        <v>147</v>
      </c>
      <c r="C19" s="187" t="s">
        <v>125</v>
      </c>
      <c r="D19" s="91">
        <v>20</v>
      </c>
      <c r="E19" s="190">
        <f t="shared" si="0"/>
        <v>9.06</v>
      </c>
      <c r="F19" s="190"/>
      <c r="G19" s="190">
        <v>1.5</v>
      </c>
      <c r="H19" s="190"/>
      <c r="I19" s="190">
        <f t="shared" si="5"/>
        <v>0.45720000000000005</v>
      </c>
      <c r="J19" s="199"/>
      <c r="K19" s="190"/>
      <c r="L19" s="199"/>
      <c r="M19" s="92"/>
      <c r="N19" s="204"/>
      <c r="O19" s="205"/>
      <c r="P19" s="89"/>
      <c r="Q19" s="196"/>
      <c r="R19" s="196"/>
      <c r="S19" s="196">
        <f t="shared" si="6"/>
        <v>1.8938284704000006</v>
      </c>
      <c r="T19" s="245">
        <f t="shared" si="4"/>
        <v>1.8938284704000006</v>
      </c>
    </row>
    <row r="20" spans="1:20" ht="23.4" customHeight="1" x14ac:dyDescent="0.35">
      <c r="A20" s="88"/>
      <c r="B20" s="187" t="s">
        <v>151</v>
      </c>
      <c r="C20" s="187" t="s">
        <v>125</v>
      </c>
      <c r="D20" s="91">
        <v>138</v>
      </c>
      <c r="E20" s="190">
        <f t="shared" si="0"/>
        <v>62.514000000000003</v>
      </c>
      <c r="F20" s="190"/>
      <c r="G20" s="190"/>
      <c r="H20" s="190">
        <v>5.35</v>
      </c>
      <c r="I20" s="190"/>
      <c r="J20" s="199">
        <f>H20*0.3048</f>
        <v>1.6306799999999999</v>
      </c>
      <c r="K20" s="190"/>
      <c r="L20" s="199"/>
      <c r="M20" s="92"/>
      <c r="N20" s="204"/>
      <c r="O20" s="205"/>
      <c r="P20" s="89"/>
      <c r="Q20" s="196"/>
      <c r="R20" s="196"/>
      <c r="S20" s="196">
        <f>E20*J20^2</f>
        <v>166.23205654167359</v>
      </c>
      <c r="T20" s="245">
        <f t="shared" si="4"/>
        <v>166.23205654167359</v>
      </c>
    </row>
    <row r="21" spans="1:20" ht="23.4" customHeight="1" x14ac:dyDescent="0.35">
      <c r="A21" s="88"/>
      <c r="B21" s="187" t="s">
        <v>148</v>
      </c>
      <c r="C21" s="187" t="s">
        <v>125</v>
      </c>
      <c r="D21" s="91">
        <v>20</v>
      </c>
      <c r="E21" s="190">
        <f t="shared" si="0"/>
        <v>9.06</v>
      </c>
      <c r="F21" s="190"/>
      <c r="G21" s="190">
        <v>1.5</v>
      </c>
      <c r="H21" s="190"/>
      <c r="I21" s="190">
        <f t="shared" si="5"/>
        <v>0.45720000000000005</v>
      </c>
      <c r="J21" s="199"/>
      <c r="K21" s="190"/>
      <c r="L21" s="199"/>
      <c r="M21" s="92"/>
      <c r="N21" s="204"/>
      <c r="O21" s="205"/>
      <c r="P21" s="89"/>
      <c r="Q21" s="196"/>
      <c r="R21" s="196"/>
      <c r="S21" s="196">
        <f>E21*I21^2</f>
        <v>1.8938284704000006</v>
      </c>
      <c r="T21" s="245">
        <f t="shared" si="4"/>
        <v>1.8938284704000006</v>
      </c>
    </row>
    <row r="22" spans="1:20" ht="23.4" customHeight="1" x14ac:dyDescent="0.35">
      <c r="A22" s="88"/>
      <c r="B22" s="187" t="s">
        <v>149</v>
      </c>
      <c r="C22" s="187" t="s">
        <v>125</v>
      </c>
      <c r="D22" s="91">
        <v>155</v>
      </c>
      <c r="E22" s="190">
        <f t="shared" si="0"/>
        <v>70.215000000000003</v>
      </c>
      <c r="F22" s="190"/>
      <c r="G22" s="190"/>
      <c r="H22" s="190">
        <v>2.4</v>
      </c>
      <c r="I22" s="190"/>
      <c r="J22" s="199">
        <f>H22*0.3048</f>
        <v>0.73152000000000006</v>
      </c>
      <c r="K22" s="190"/>
      <c r="L22" s="199"/>
      <c r="M22" s="92"/>
      <c r="N22" s="204"/>
      <c r="O22" s="205"/>
      <c r="P22" s="89"/>
      <c r="Q22" s="196"/>
      <c r="R22" s="196"/>
      <c r="S22" s="196">
        <f>E22*J22^2</f>
        <v>37.573556852736012</v>
      </c>
      <c r="T22" s="245">
        <f t="shared" si="4"/>
        <v>37.573556852736012</v>
      </c>
    </row>
    <row r="23" spans="1:20" ht="23.4" customHeight="1" x14ac:dyDescent="0.35">
      <c r="A23" s="88"/>
      <c r="B23" s="187" t="s">
        <v>150</v>
      </c>
      <c r="C23" s="187" t="s">
        <v>125</v>
      </c>
      <c r="D23" s="91">
        <v>194</v>
      </c>
      <c r="E23" s="190">
        <f t="shared" si="0"/>
        <v>87.882000000000005</v>
      </c>
      <c r="F23" s="190"/>
      <c r="G23" s="190"/>
      <c r="H23" s="190"/>
      <c r="I23" s="190"/>
      <c r="J23" s="199"/>
      <c r="K23" s="190"/>
      <c r="L23" s="199"/>
      <c r="M23" s="92"/>
      <c r="N23" s="204"/>
      <c r="O23" s="205"/>
      <c r="P23" s="89"/>
      <c r="Q23" s="196"/>
      <c r="R23" s="196"/>
      <c r="S23" s="196"/>
      <c r="T23" s="246"/>
    </row>
    <row r="24" spans="1:20" ht="23.4" customHeight="1" x14ac:dyDescent="0.35">
      <c r="A24" s="88"/>
      <c r="B24" s="251" t="s">
        <v>183</v>
      </c>
      <c r="C24" s="187" t="s">
        <v>140</v>
      </c>
      <c r="D24" s="91">
        <v>339</v>
      </c>
      <c r="E24" s="190">
        <f>D24*0.453</f>
        <v>153.56700000000001</v>
      </c>
      <c r="F24" s="190"/>
      <c r="G24" s="190">
        <v>4.8</v>
      </c>
      <c r="H24" s="190"/>
      <c r="I24" s="190">
        <f>G24*0.3048</f>
        <v>1.4630400000000001</v>
      </c>
      <c r="J24" s="199"/>
      <c r="K24" s="190"/>
      <c r="L24" s="199"/>
      <c r="M24" s="92"/>
      <c r="N24" s="204"/>
      <c r="O24" s="205"/>
      <c r="P24" s="89"/>
      <c r="Q24" s="196" t="s">
        <v>131</v>
      </c>
      <c r="R24" s="196" t="s">
        <v>131</v>
      </c>
      <c r="S24" s="196">
        <f>E24*I24^2</f>
        <v>328.70801995038727</v>
      </c>
      <c r="T24" s="245">
        <f t="shared" ref="T24:T30" si="7">S24</f>
        <v>328.70801995038727</v>
      </c>
    </row>
    <row r="25" spans="1:20" ht="23.4" customHeight="1" x14ac:dyDescent="0.35">
      <c r="A25" s="88"/>
      <c r="B25" s="251" t="s">
        <v>153</v>
      </c>
      <c r="C25" s="187" t="s">
        <v>140</v>
      </c>
      <c r="D25" s="91">
        <v>30</v>
      </c>
      <c r="E25" s="190">
        <f t="shared" si="0"/>
        <v>13.59</v>
      </c>
      <c r="F25" s="190"/>
      <c r="G25" s="190">
        <v>15</v>
      </c>
      <c r="H25" s="190"/>
      <c r="I25" s="190">
        <f>G25*0.3048</f>
        <v>4.5720000000000001</v>
      </c>
      <c r="J25" s="199"/>
      <c r="K25" s="190"/>
      <c r="L25" s="199"/>
      <c r="M25" s="92"/>
      <c r="N25" s="204"/>
      <c r="O25" s="205"/>
      <c r="P25" s="89"/>
      <c r="Q25" s="196"/>
      <c r="R25" s="196"/>
      <c r="S25" s="196">
        <f>E25*I25^2</f>
        <v>284.07427056</v>
      </c>
      <c r="T25" s="245">
        <f t="shared" si="7"/>
        <v>284.07427056</v>
      </c>
    </row>
    <row r="26" spans="1:20" ht="23.4" customHeight="1" x14ac:dyDescent="0.35">
      <c r="A26" s="88"/>
      <c r="B26" s="251" t="s">
        <v>162</v>
      </c>
      <c r="C26" s="187" t="s">
        <v>140</v>
      </c>
      <c r="D26" s="91">
        <v>231</v>
      </c>
      <c r="E26" s="190">
        <f>D26*0.453</f>
        <v>104.643</v>
      </c>
      <c r="F26" s="190"/>
      <c r="G26" s="190"/>
      <c r="H26" s="190">
        <v>5.4</v>
      </c>
      <c r="I26" s="190"/>
      <c r="J26" s="199">
        <f>H26*0.3048</f>
        <v>1.6459200000000003</v>
      </c>
      <c r="K26" s="190"/>
      <c r="L26" s="199"/>
      <c r="M26" s="92"/>
      <c r="N26" s="204"/>
      <c r="O26" s="205"/>
      <c r="P26" s="89"/>
      <c r="Q26" s="196"/>
      <c r="R26" s="196"/>
      <c r="S26" s="196">
        <f>E26*J26^2</f>
        <v>283.48339607723528</v>
      </c>
      <c r="T26" s="245">
        <f t="shared" si="7"/>
        <v>283.48339607723528</v>
      </c>
    </row>
    <row r="27" spans="1:20" ht="23.4" customHeight="1" x14ac:dyDescent="0.35">
      <c r="A27" s="88"/>
      <c r="B27" s="251" t="s">
        <v>154</v>
      </c>
      <c r="C27" s="187" t="s">
        <v>140</v>
      </c>
      <c r="D27" s="91">
        <v>160</v>
      </c>
      <c r="E27" s="190">
        <f t="shared" si="0"/>
        <v>72.48</v>
      </c>
      <c r="F27" s="190"/>
      <c r="G27" s="190">
        <v>13.8</v>
      </c>
      <c r="H27" s="190"/>
      <c r="I27" s="190">
        <f>G27*0.3048</f>
        <v>4.2062400000000002</v>
      </c>
      <c r="J27" s="199"/>
      <c r="K27" s="190"/>
      <c r="L27" s="199"/>
      <c r="M27" s="92"/>
      <c r="N27" s="204"/>
      <c r="O27" s="205"/>
      <c r="P27" s="89"/>
      <c r="Q27" s="196"/>
      <c r="R27" s="196"/>
      <c r="S27" s="196">
        <f>E27*I27^2</f>
        <v>1282.3491338772481</v>
      </c>
      <c r="T27" s="245">
        <f t="shared" si="7"/>
        <v>1282.3491338772481</v>
      </c>
    </row>
    <row r="28" spans="1:20" ht="23.4" customHeight="1" x14ac:dyDescent="0.35">
      <c r="A28" s="88"/>
      <c r="B28" s="251" t="s">
        <v>155</v>
      </c>
      <c r="C28" s="187" t="s">
        <v>140</v>
      </c>
      <c r="D28" s="91">
        <v>52</v>
      </c>
      <c r="E28" s="190">
        <f t="shared" si="0"/>
        <v>23.556000000000001</v>
      </c>
      <c r="F28" s="190"/>
      <c r="G28" s="190">
        <v>21.1</v>
      </c>
      <c r="H28" s="190"/>
      <c r="I28" s="190">
        <f t="shared" ref="I28:I37" si="8">G28*0.3048</f>
        <v>6.431280000000001</v>
      </c>
      <c r="J28" s="199"/>
      <c r="K28" s="190"/>
      <c r="L28" s="199"/>
      <c r="M28" s="92"/>
      <c r="N28" s="204"/>
      <c r="O28" s="205"/>
      <c r="P28" s="89"/>
      <c r="Q28" s="196"/>
      <c r="R28" s="196"/>
      <c r="S28" s="196">
        <f>E28*I28^2</f>
        <v>974.30825359895084</v>
      </c>
      <c r="T28" s="245">
        <f t="shared" si="7"/>
        <v>974.30825359895084</v>
      </c>
    </row>
    <row r="29" spans="1:20" ht="23.4" customHeight="1" x14ac:dyDescent="0.35">
      <c r="A29" s="88"/>
      <c r="B29" s="251" t="s">
        <v>55</v>
      </c>
      <c r="C29" s="187" t="s">
        <v>140</v>
      </c>
      <c r="D29" s="91">
        <v>30</v>
      </c>
      <c r="E29" s="190">
        <f t="shared" si="0"/>
        <v>13.59</v>
      </c>
      <c r="F29" s="190"/>
      <c r="G29" s="190">
        <v>5</v>
      </c>
      <c r="H29" s="190"/>
      <c r="I29" s="190">
        <f t="shared" si="8"/>
        <v>1.524</v>
      </c>
      <c r="J29" s="199"/>
      <c r="K29" s="190"/>
      <c r="L29" s="199"/>
      <c r="M29" s="92"/>
      <c r="N29" s="204"/>
      <c r="O29" s="205"/>
      <c r="P29" s="89"/>
      <c r="Q29" s="196"/>
      <c r="R29" s="196"/>
      <c r="S29" s="196">
        <f t="shared" ref="S29:S35" si="9">E29*I29^2</f>
        <v>31.563807840000003</v>
      </c>
      <c r="T29" s="245">
        <f t="shared" si="7"/>
        <v>31.563807840000003</v>
      </c>
    </row>
    <row r="30" spans="1:20" ht="23.4" customHeight="1" x14ac:dyDescent="0.35">
      <c r="A30" s="88"/>
      <c r="B30" s="251" t="s">
        <v>164</v>
      </c>
      <c r="C30" s="187" t="s">
        <v>140</v>
      </c>
      <c r="D30" s="91">
        <v>140</v>
      </c>
      <c r="E30" s="190">
        <f t="shared" si="0"/>
        <v>63.42</v>
      </c>
      <c r="F30" s="190"/>
      <c r="G30" s="190">
        <v>5.0999999999999996</v>
      </c>
      <c r="H30" s="190"/>
      <c r="I30" s="190">
        <f t="shared" si="8"/>
        <v>1.5544799999999999</v>
      </c>
      <c r="J30" s="199"/>
      <c r="K30" s="190"/>
      <c r="L30" s="199"/>
      <c r="M30" s="92"/>
      <c r="N30" s="204"/>
      <c r="O30" s="205"/>
      <c r="P30" s="89"/>
      <c r="Q30" s="196"/>
      <c r="R30" s="196"/>
      <c r="S30" s="196">
        <f t="shared" si="9"/>
        <v>153.24859982476798</v>
      </c>
      <c r="T30" s="245">
        <f t="shared" si="7"/>
        <v>153.24859982476798</v>
      </c>
    </row>
    <row r="31" spans="1:20" ht="23.4" customHeight="1" x14ac:dyDescent="0.35">
      <c r="A31" s="88"/>
      <c r="B31" s="214" t="s">
        <v>157</v>
      </c>
      <c r="C31" s="187" t="s">
        <v>181</v>
      </c>
      <c r="D31" s="91"/>
      <c r="E31" s="190">
        <v>53</v>
      </c>
      <c r="G31" s="190">
        <v>14.1</v>
      </c>
      <c r="H31" s="190"/>
      <c r="I31" s="190">
        <f t="shared" si="8"/>
        <v>4.2976799999999997</v>
      </c>
      <c r="J31" s="199"/>
      <c r="K31" s="190"/>
      <c r="L31" s="199"/>
      <c r="M31" s="92"/>
      <c r="N31" s="204"/>
      <c r="O31" s="205"/>
      <c r="P31" s="89"/>
      <c r="Q31" s="196">
        <v>1002</v>
      </c>
      <c r="R31" s="196"/>
      <c r="S31" s="196">
        <f t="shared" si="9"/>
        <v>978.91282926719975</v>
      </c>
      <c r="T31" s="245">
        <f>Q31</f>
        <v>1002</v>
      </c>
    </row>
    <row r="32" spans="1:20" ht="23.4" customHeight="1" x14ac:dyDescent="0.35">
      <c r="A32" s="88"/>
      <c r="B32" s="214" t="s">
        <v>159</v>
      </c>
      <c r="C32" s="187" t="s">
        <v>181</v>
      </c>
      <c r="D32" s="91">
        <v>284</v>
      </c>
      <c r="E32" s="190">
        <f t="shared" si="0"/>
        <v>128.65200000000002</v>
      </c>
      <c r="F32" s="190"/>
      <c r="G32" s="190">
        <v>14.4</v>
      </c>
      <c r="H32" s="190"/>
      <c r="I32" s="190">
        <f t="shared" si="8"/>
        <v>4.3891200000000001</v>
      </c>
      <c r="J32" s="199"/>
      <c r="K32" s="190"/>
      <c r="L32" s="199"/>
      <c r="M32" s="92"/>
      <c r="N32" s="204"/>
      <c r="O32" s="205"/>
      <c r="P32" s="89"/>
      <c r="Q32" s="196"/>
      <c r="R32" s="196"/>
      <c r="S32" s="196">
        <f t="shared" si="9"/>
        <v>2478.4002920153093</v>
      </c>
      <c r="T32" s="245">
        <f t="shared" ref="T32:T38" si="10">S32</f>
        <v>2478.4002920153093</v>
      </c>
    </row>
    <row r="33" spans="1:22" ht="23.4" customHeight="1" x14ac:dyDescent="0.35">
      <c r="A33" s="88"/>
      <c r="B33" s="214" t="s">
        <v>158</v>
      </c>
      <c r="C33" s="187" t="s">
        <v>181</v>
      </c>
      <c r="D33" s="91">
        <v>423</v>
      </c>
      <c r="E33" s="190">
        <f t="shared" si="0"/>
        <v>191.619</v>
      </c>
      <c r="F33" s="190"/>
      <c r="G33" s="190">
        <v>4.8</v>
      </c>
      <c r="H33" s="190"/>
      <c r="I33" s="190">
        <f t="shared" si="8"/>
        <v>1.4630400000000001</v>
      </c>
      <c r="J33" s="199"/>
      <c r="K33" s="190"/>
      <c r="L33" s="199"/>
      <c r="M33" s="92"/>
      <c r="N33" s="204"/>
      <c r="O33" s="205"/>
      <c r="P33" s="89"/>
      <c r="Q33" s="196"/>
      <c r="R33" s="196"/>
      <c r="S33" s="196">
        <f t="shared" si="9"/>
        <v>410.15779480535048</v>
      </c>
      <c r="T33" s="245">
        <f t="shared" si="10"/>
        <v>410.15779480535048</v>
      </c>
    </row>
    <row r="34" spans="1:22" ht="23.4" customHeight="1" x14ac:dyDescent="0.35">
      <c r="A34" s="88"/>
      <c r="B34" s="214" t="s">
        <v>160</v>
      </c>
      <c r="C34" s="187" t="s">
        <v>181</v>
      </c>
      <c r="D34" s="91">
        <v>45</v>
      </c>
      <c r="E34" s="190">
        <f t="shared" si="0"/>
        <v>20.385000000000002</v>
      </c>
      <c r="F34" s="190"/>
      <c r="G34" s="190">
        <v>6</v>
      </c>
      <c r="H34" s="190"/>
      <c r="I34" s="190">
        <f t="shared" si="8"/>
        <v>1.8288000000000002</v>
      </c>
      <c r="J34" s="199"/>
      <c r="K34" s="190"/>
      <c r="L34" s="199"/>
      <c r="M34" s="92"/>
      <c r="N34" s="204"/>
      <c r="O34" s="205"/>
      <c r="P34" s="89"/>
      <c r="Q34" s="196"/>
      <c r="R34" s="196"/>
      <c r="S34" s="196">
        <f t="shared" si="9"/>
        <v>68.177824934400022</v>
      </c>
      <c r="T34" s="245">
        <f t="shared" si="10"/>
        <v>68.177824934400022</v>
      </c>
    </row>
    <row r="35" spans="1:22" ht="23.4" customHeight="1" x14ac:dyDescent="0.35">
      <c r="A35" s="88"/>
      <c r="B35" s="214" t="s">
        <v>49</v>
      </c>
      <c r="C35" s="187" t="s">
        <v>181</v>
      </c>
      <c r="D35" s="91">
        <f>125*2.2</f>
        <v>275</v>
      </c>
      <c r="E35" s="190">
        <f t="shared" si="0"/>
        <v>124.575</v>
      </c>
      <c r="F35" s="190"/>
      <c r="G35" s="190">
        <v>4</v>
      </c>
      <c r="H35" s="190"/>
      <c r="I35" s="190">
        <f t="shared" si="8"/>
        <v>1.2192000000000001</v>
      </c>
      <c r="J35" s="199"/>
      <c r="K35" s="190"/>
      <c r="L35" s="199"/>
      <c r="M35" s="92"/>
      <c r="N35" s="204"/>
      <c r="O35" s="205"/>
      <c r="P35" s="89"/>
      <c r="Q35" s="196"/>
      <c r="R35" s="196"/>
      <c r="S35" s="196">
        <f t="shared" si="9"/>
        <v>185.17433932800003</v>
      </c>
      <c r="T35" s="245">
        <f t="shared" si="10"/>
        <v>185.17433932800003</v>
      </c>
    </row>
    <row r="36" spans="1:22" ht="23.4" customHeight="1" x14ac:dyDescent="0.35">
      <c r="A36" s="88"/>
      <c r="B36" s="214" t="s">
        <v>161</v>
      </c>
      <c r="C36" s="187" t="s">
        <v>181</v>
      </c>
      <c r="D36" s="91">
        <v>350</v>
      </c>
      <c r="E36" s="190">
        <f t="shared" si="0"/>
        <v>158.55000000000001</v>
      </c>
      <c r="F36" s="190"/>
      <c r="G36" s="190"/>
      <c r="H36" s="190">
        <v>4.9000000000000004</v>
      </c>
      <c r="I36" s="190"/>
      <c r="J36" s="199">
        <f>H36*0.3048</f>
        <v>1.4935200000000002</v>
      </c>
      <c r="K36" s="190"/>
      <c r="L36" s="199"/>
      <c r="M36" s="92"/>
      <c r="N36" s="204"/>
      <c r="O36" s="205"/>
      <c r="P36" s="89"/>
      <c r="Q36" s="196"/>
      <c r="R36" s="196"/>
      <c r="S36" s="196">
        <f>E36*J36^2</f>
        <v>353.66194557792016</v>
      </c>
      <c r="T36" s="245">
        <f t="shared" si="10"/>
        <v>353.66194557792016</v>
      </c>
    </row>
    <row r="37" spans="1:22" ht="23.4" customHeight="1" x14ac:dyDescent="0.35">
      <c r="A37" s="88"/>
      <c r="B37" s="214" t="s">
        <v>163</v>
      </c>
      <c r="C37" s="187" t="s">
        <v>181</v>
      </c>
      <c r="D37" s="91">
        <v>50</v>
      </c>
      <c r="E37" s="190">
        <f t="shared" si="0"/>
        <v>22.650000000000002</v>
      </c>
      <c r="F37" s="190"/>
      <c r="G37" s="190">
        <v>6</v>
      </c>
      <c r="H37" s="190"/>
      <c r="I37" s="190">
        <f t="shared" si="8"/>
        <v>1.8288000000000002</v>
      </c>
      <c r="J37" s="199"/>
      <c r="K37" s="190"/>
      <c r="L37" s="199"/>
      <c r="M37" s="92"/>
      <c r="N37" s="204"/>
      <c r="O37" s="205"/>
      <c r="P37" s="89"/>
      <c r="Q37" s="196"/>
      <c r="R37" s="196"/>
      <c r="S37" s="196">
        <f>E37*I37^2</f>
        <v>75.753138816000032</v>
      </c>
      <c r="T37" s="245">
        <f t="shared" si="10"/>
        <v>75.753138816000032</v>
      </c>
    </row>
    <row r="38" spans="1:22" ht="23.4" customHeight="1" thickBot="1" x14ac:dyDescent="0.4">
      <c r="A38" s="88"/>
      <c r="B38" s="214" t="s">
        <v>186</v>
      </c>
      <c r="C38" s="187" t="s">
        <v>181</v>
      </c>
      <c r="D38" s="91">
        <v>700</v>
      </c>
      <c r="E38" s="190">
        <f t="shared" si="0"/>
        <v>317.10000000000002</v>
      </c>
      <c r="F38" s="190"/>
      <c r="G38" s="190"/>
      <c r="H38" s="190">
        <v>5.2</v>
      </c>
      <c r="I38" s="190"/>
      <c r="J38" s="199">
        <f>H38*0.3048</f>
        <v>1.5849600000000001</v>
      </c>
      <c r="K38" s="190"/>
      <c r="L38" s="199"/>
      <c r="M38" s="92"/>
      <c r="N38" s="204"/>
      <c r="O38" s="205"/>
      <c r="P38" s="89"/>
      <c r="Q38" s="196"/>
      <c r="R38" s="196"/>
      <c r="S38" s="196">
        <f>E38*J38^2</f>
        <v>796.58633972736027</v>
      </c>
      <c r="T38" s="245">
        <f t="shared" si="10"/>
        <v>796.58633972736027</v>
      </c>
    </row>
    <row r="39" spans="1:22" ht="23.4" customHeight="1" x14ac:dyDescent="0.35">
      <c r="A39" s="88"/>
      <c r="B39" s="187"/>
      <c r="C39" s="187"/>
      <c r="D39" s="91"/>
      <c r="E39" s="190"/>
      <c r="F39" s="190"/>
      <c r="G39" s="190"/>
      <c r="H39" s="190"/>
      <c r="I39" s="190"/>
      <c r="J39" s="199"/>
      <c r="K39" s="190"/>
      <c r="L39" s="199"/>
      <c r="M39" s="92"/>
      <c r="N39" s="204"/>
      <c r="O39" s="205"/>
      <c r="P39" s="89"/>
      <c r="Q39" s="196"/>
      <c r="R39" s="196"/>
      <c r="S39" s="196"/>
      <c r="T39" s="247">
        <f>SUM(T5:T30)</f>
        <v>35846.523609188262</v>
      </c>
      <c r="U39" s="248" t="s">
        <v>184</v>
      </c>
      <c r="V39" s="52"/>
    </row>
    <row r="40" spans="1:22" ht="23.4" customHeight="1" thickBot="1" x14ac:dyDescent="0.4">
      <c r="A40" s="88"/>
      <c r="B40" s="187"/>
      <c r="C40" s="187"/>
      <c r="D40" s="91"/>
      <c r="E40" s="190"/>
      <c r="F40" s="190"/>
      <c r="G40" s="190"/>
      <c r="H40" s="190"/>
      <c r="I40" s="190"/>
      <c r="J40" s="199"/>
      <c r="K40" s="190"/>
      <c r="L40" s="199"/>
      <c r="M40" s="92"/>
      <c r="N40" s="204"/>
      <c r="O40" s="205"/>
      <c r="P40" s="89"/>
      <c r="Q40" s="196"/>
      <c r="R40" s="196"/>
      <c r="S40" s="196"/>
      <c r="T40" s="249">
        <f>SUM(T5:T23)+SUM(T31:T38)</f>
        <v>37878.699802664007</v>
      </c>
      <c r="U40" s="250" t="s">
        <v>185</v>
      </c>
      <c r="V40" s="50"/>
    </row>
    <row r="42" spans="1:22" ht="18" x14ac:dyDescent="0.35">
      <c r="T42" s="252">
        <f>(T40-T39)/T39</f>
        <v>5.6691025763928003E-2</v>
      </c>
      <c r="U42" s="246" t="s">
        <v>187</v>
      </c>
    </row>
  </sheetData>
  <mergeCells count="4">
    <mergeCell ref="K3:L3"/>
    <mergeCell ref="N3:O3"/>
    <mergeCell ref="G3:H3"/>
    <mergeCell ref="I3:J3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8"/>
  <sheetViews>
    <sheetView topLeftCell="A16" zoomScaleNormal="100" workbookViewId="0">
      <selection activeCell="L54" sqref="L54"/>
    </sheetView>
  </sheetViews>
  <sheetFormatPr defaultRowHeight="14.4" x14ac:dyDescent="0.3"/>
  <cols>
    <col min="1" max="1" width="20.88671875" style="1" customWidth="1"/>
    <col min="2" max="4" width="8.33203125" style="60" customWidth="1"/>
    <col min="5" max="5" width="10" style="60" customWidth="1"/>
    <col min="6" max="6" width="11.44140625" style="60" customWidth="1"/>
    <col min="7" max="7" width="7" style="60" customWidth="1"/>
    <col min="8" max="9" width="9.109375" style="60" customWidth="1"/>
    <col min="10" max="10" width="9.6640625" style="60" customWidth="1"/>
    <col min="11" max="11" width="11.33203125" style="60" customWidth="1"/>
  </cols>
  <sheetData>
    <row r="3" spans="1:11" ht="12.6" customHeight="1" thickBot="1" x14ac:dyDescent="0.35"/>
    <row r="4" spans="1:11" ht="16.2" thickBot="1" x14ac:dyDescent="0.35">
      <c r="A4" s="152" t="s">
        <v>118</v>
      </c>
      <c r="B4" s="294" t="s">
        <v>52</v>
      </c>
      <c r="C4" s="295"/>
      <c r="D4" s="295"/>
      <c r="E4" s="295"/>
      <c r="F4" s="296"/>
      <c r="G4" s="294" t="s">
        <v>53</v>
      </c>
      <c r="H4" s="295"/>
      <c r="I4" s="295"/>
      <c r="J4" s="295"/>
      <c r="K4" s="296"/>
    </row>
    <row r="5" spans="1:11" ht="43.2" x14ac:dyDescent="0.3">
      <c r="A5" s="123" t="s">
        <v>84</v>
      </c>
      <c r="B5" s="61" t="s">
        <v>87</v>
      </c>
      <c r="C5" s="62" t="s">
        <v>88</v>
      </c>
      <c r="D5" s="62" t="s">
        <v>58</v>
      </c>
      <c r="E5" s="62" t="s">
        <v>57</v>
      </c>
      <c r="F5" s="156" t="s">
        <v>62</v>
      </c>
      <c r="G5" s="62" t="s">
        <v>87</v>
      </c>
      <c r="H5" s="62" t="s">
        <v>88</v>
      </c>
      <c r="I5" s="62" t="s">
        <v>58</v>
      </c>
      <c r="J5" s="62" t="s">
        <v>57</v>
      </c>
      <c r="K5" s="156" t="s">
        <v>62</v>
      </c>
    </row>
    <row r="6" spans="1:11" x14ac:dyDescent="0.3">
      <c r="A6" s="124">
        <v>1</v>
      </c>
      <c r="B6" s="61">
        <v>2</v>
      </c>
      <c r="C6" s="62" t="s">
        <v>89</v>
      </c>
      <c r="D6" s="62">
        <v>3</v>
      </c>
      <c r="E6" s="62">
        <v>42</v>
      </c>
      <c r="F6" s="157">
        <f>D6*E6</f>
        <v>126</v>
      </c>
      <c r="G6" s="62">
        <v>2</v>
      </c>
      <c r="H6" s="62" t="s">
        <v>89</v>
      </c>
      <c r="I6" s="62">
        <v>1</v>
      </c>
      <c r="J6" s="62">
        <v>42</v>
      </c>
      <c r="K6" s="157">
        <f>I6*J6</f>
        <v>42</v>
      </c>
    </row>
    <row r="7" spans="1:11" x14ac:dyDescent="0.3">
      <c r="A7" s="124">
        <v>2</v>
      </c>
      <c r="B7" s="61">
        <v>0</v>
      </c>
      <c r="C7" s="62"/>
      <c r="D7" s="62"/>
      <c r="E7" s="62"/>
      <c r="F7" s="157">
        <f t="shared" ref="F7:F11" si="0">D7*E7</f>
        <v>0</v>
      </c>
      <c r="G7" s="62">
        <v>0</v>
      </c>
      <c r="H7" s="62"/>
      <c r="I7" s="62"/>
      <c r="J7" s="62"/>
      <c r="K7" s="157">
        <f t="shared" ref="K7:K11" si="1">I7*J7</f>
        <v>0</v>
      </c>
    </row>
    <row r="8" spans="1:11" x14ac:dyDescent="0.3">
      <c r="A8" s="124">
        <v>3</v>
      </c>
      <c r="B8" s="61">
        <v>1</v>
      </c>
      <c r="C8" s="62" t="s">
        <v>89</v>
      </c>
      <c r="D8" s="62">
        <v>-2</v>
      </c>
      <c r="E8" s="62">
        <v>21</v>
      </c>
      <c r="F8" s="157">
        <f t="shared" si="0"/>
        <v>-42</v>
      </c>
      <c r="G8" s="62">
        <v>1</v>
      </c>
      <c r="H8" s="62" t="s">
        <v>89</v>
      </c>
      <c r="I8" s="62">
        <v>1.5</v>
      </c>
      <c r="J8" s="62">
        <v>21</v>
      </c>
      <c r="K8" s="157">
        <f t="shared" si="1"/>
        <v>31.5</v>
      </c>
    </row>
    <row r="9" spans="1:11" x14ac:dyDescent="0.3">
      <c r="A9" s="124">
        <v>4</v>
      </c>
      <c r="B9" s="61">
        <v>3</v>
      </c>
      <c r="C9" s="62" t="s">
        <v>89</v>
      </c>
      <c r="D9" s="62">
        <v>-2</v>
      </c>
      <c r="E9" s="62">
        <v>63</v>
      </c>
      <c r="F9" s="157">
        <f t="shared" si="0"/>
        <v>-126</v>
      </c>
      <c r="G9" s="62">
        <v>3</v>
      </c>
      <c r="H9" s="62" t="s">
        <v>89</v>
      </c>
      <c r="I9" s="62">
        <v>-1.5</v>
      </c>
      <c r="J9" s="62">
        <v>63</v>
      </c>
      <c r="K9" s="157">
        <f t="shared" si="1"/>
        <v>-94.5</v>
      </c>
    </row>
    <row r="10" spans="1:11" x14ac:dyDescent="0.3">
      <c r="A10" s="124">
        <v>5</v>
      </c>
      <c r="B10" s="61">
        <v>4</v>
      </c>
      <c r="C10" s="62" t="s">
        <v>89</v>
      </c>
      <c r="D10" s="62">
        <v>-1</v>
      </c>
      <c r="E10" s="62">
        <v>84</v>
      </c>
      <c r="F10" s="157">
        <f t="shared" si="0"/>
        <v>-84</v>
      </c>
      <c r="G10" s="62">
        <v>4</v>
      </c>
      <c r="H10" s="62" t="s">
        <v>89</v>
      </c>
      <c r="I10" s="62">
        <v>-3</v>
      </c>
      <c r="J10" s="62">
        <v>84</v>
      </c>
      <c r="K10" s="157">
        <f t="shared" si="1"/>
        <v>-252</v>
      </c>
    </row>
    <row r="11" spans="1:11" x14ac:dyDescent="0.3">
      <c r="A11" s="124">
        <v>6</v>
      </c>
      <c r="B11" s="53">
        <v>1</v>
      </c>
      <c r="C11" s="64" t="s">
        <v>89</v>
      </c>
      <c r="D11" s="64">
        <v>3</v>
      </c>
      <c r="E11" s="64">
        <v>21</v>
      </c>
      <c r="F11" s="157">
        <f t="shared" si="0"/>
        <v>63</v>
      </c>
      <c r="G11" s="64">
        <v>1</v>
      </c>
      <c r="H11" s="64" t="s">
        <v>89</v>
      </c>
      <c r="I11" s="64">
        <v>-1</v>
      </c>
      <c r="J11" s="64">
        <v>21</v>
      </c>
      <c r="K11" s="157">
        <f t="shared" si="1"/>
        <v>-21</v>
      </c>
    </row>
    <row r="12" spans="1:11" ht="15" thickBot="1" x14ac:dyDescent="0.35">
      <c r="A12" s="124" t="s">
        <v>91</v>
      </c>
      <c r="B12" s="53"/>
      <c r="C12" s="64"/>
      <c r="D12" s="64"/>
      <c r="E12" s="64">
        <f>SUM(E6:E11)</f>
        <v>231</v>
      </c>
      <c r="F12" s="158"/>
      <c r="G12" s="64"/>
      <c r="H12" s="64"/>
      <c r="I12" s="64"/>
      <c r="J12" s="64">
        <f>SUM(J6:J11)</f>
        <v>231</v>
      </c>
      <c r="K12" s="158"/>
    </row>
    <row r="13" spans="1:11" x14ac:dyDescent="0.3">
      <c r="A13" s="128" t="s">
        <v>188</v>
      </c>
      <c r="B13" s="153" t="s">
        <v>100</v>
      </c>
      <c r="C13" s="133"/>
      <c r="D13" s="131" t="s">
        <v>90</v>
      </c>
      <c r="E13" s="130"/>
      <c r="F13" s="159">
        <f>SUM(F6:F11)</f>
        <v>-63</v>
      </c>
      <c r="G13" s="130"/>
      <c r="H13" s="130"/>
      <c r="I13" s="131" t="s">
        <v>92</v>
      </c>
      <c r="J13" s="130"/>
      <c r="K13" s="159">
        <f>SUM(K6:K11)</f>
        <v>-294</v>
      </c>
    </row>
    <row r="14" spans="1:11" ht="15" thickBot="1" x14ac:dyDescent="0.35">
      <c r="A14" s="126" t="s">
        <v>112</v>
      </c>
      <c r="B14" s="154"/>
      <c r="C14" s="134"/>
      <c r="D14" s="66"/>
      <c r="E14" s="66"/>
      <c r="F14" s="160" t="s">
        <v>93</v>
      </c>
      <c r="G14" s="66"/>
      <c r="H14" s="66"/>
      <c r="I14" s="66"/>
      <c r="J14" s="66"/>
      <c r="K14" s="160" t="s">
        <v>94</v>
      </c>
    </row>
    <row r="15" spans="1:11" x14ac:dyDescent="0.3">
      <c r="A15" s="128" t="s">
        <v>192</v>
      </c>
      <c r="B15" s="258"/>
      <c r="C15" s="64"/>
      <c r="D15" s="135"/>
      <c r="E15" s="256"/>
      <c r="F15" s="254">
        <v>224</v>
      </c>
      <c r="G15" s="64"/>
      <c r="H15" s="64"/>
      <c r="I15" s="64"/>
      <c r="J15" s="64"/>
      <c r="K15" s="161">
        <v>81</v>
      </c>
    </row>
    <row r="16" spans="1:11" ht="15" thickBot="1" x14ac:dyDescent="0.35">
      <c r="A16" s="132" t="s">
        <v>189</v>
      </c>
      <c r="B16" s="154"/>
      <c r="C16" s="66"/>
      <c r="D16" s="134"/>
      <c r="E16" s="257"/>
      <c r="F16" s="255" t="s">
        <v>104</v>
      </c>
      <c r="G16" s="64"/>
      <c r="H16" s="64"/>
      <c r="I16" s="64"/>
      <c r="J16" s="65"/>
      <c r="K16" s="162" t="s">
        <v>107</v>
      </c>
    </row>
    <row r="17" spans="1:14" x14ac:dyDescent="0.3">
      <c r="A17" s="128"/>
      <c r="B17" s="258" t="s">
        <v>191</v>
      </c>
      <c r="C17" s="64"/>
      <c r="D17" s="135"/>
      <c r="E17" s="256"/>
      <c r="F17" s="259"/>
      <c r="G17" s="129"/>
      <c r="H17" s="130"/>
      <c r="I17" s="130"/>
      <c r="J17" s="261"/>
      <c r="K17" s="262"/>
    </row>
    <row r="18" spans="1:14" ht="15" thickBot="1" x14ac:dyDescent="0.35">
      <c r="A18" s="132"/>
      <c r="B18" s="154" t="s">
        <v>190</v>
      </c>
      <c r="C18" s="66"/>
      <c r="D18" s="134"/>
      <c r="E18" s="257"/>
      <c r="F18" s="260"/>
      <c r="G18" s="54"/>
      <c r="H18" s="66"/>
      <c r="I18" s="66"/>
      <c r="J18" s="263"/>
      <c r="K18" s="171"/>
    </row>
    <row r="19" spans="1:14" x14ac:dyDescent="0.3">
      <c r="A19" s="128" t="s">
        <v>113</v>
      </c>
      <c r="B19" s="155"/>
      <c r="C19" s="130"/>
      <c r="D19" s="130"/>
      <c r="E19" s="130"/>
      <c r="F19" s="159">
        <f>F15+F13</f>
        <v>161</v>
      </c>
      <c r="G19" s="133"/>
      <c r="H19" s="133"/>
      <c r="I19" s="133"/>
      <c r="J19" s="133"/>
      <c r="K19" s="170">
        <f>K13+K15</f>
        <v>-213</v>
      </c>
    </row>
    <row r="20" spans="1:14" ht="15" thickBot="1" x14ac:dyDescent="0.35">
      <c r="A20" s="126" t="s">
        <v>193</v>
      </c>
      <c r="B20" s="154">
        <f>231+172</f>
        <v>403</v>
      </c>
      <c r="C20" s="134" t="s">
        <v>194</v>
      </c>
      <c r="D20" s="66"/>
      <c r="E20" s="66"/>
      <c r="F20" s="160" t="s">
        <v>104</v>
      </c>
      <c r="G20" s="134"/>
      <c r="H20" s="134"/>
      <c r="I20" s="134"/>
      <c r="J20" s="134"/>
      <c r="K20" s="171" t="s">
        <v>94</v>
      </c>
    </row>
    <row r="22" spans="1:14" ht="15" thickBot="1" x14ac:dyDescent="0.35"/>
    <row r="23" spans="1:14" ht="31.2" customHeight="1" thickBot="1" x14ac:dyDescent="0.35">
      <c r="A23" s="264" t="s">
        <v>195</v>
      </c>
      <c r="B23" s="294" t="s">
        <v>52</v>
      </c>
      <c r="C23" s="295"/>
      <c r="D23" s="295"/>
      <c r="E23" s="295"/>
      <c r="F23" s="295"/>
      <c r="G23" s="294" t="s">
        <v>53</v>
      </c>
      <c r="H23" s="295"/>
      <c r="I23" s="295"/>
      <c r="J23" s="295"/>
      <c r="K23" s="296"/>
    </row>
    <row r="24" spans="1:14" ht="43.8" thickBot="1" x14ac:dyDescent="0.35">
      <c r="A24" s="142" t="s">
        <v>84</v>
      </c>
      <c r="B24" s="140" t="s">
        <v>87</v>
      </c>
      <c r="C24" s="62" t="s">
        <v>88</v>
      </c>
      <c r="D24" s="62" t="s">
        <v>58</v>
      </c>
      <c r="E24" s="62" t="s">
        <v>57</v>
      </c>
      <c r="F24" s="174" t="s">
        <v>62</v>
      </c>
      <c r="G24" s="140" t="s">
        <v>87</v>
      </c>
      <c r="H24" s="62" t="s">
        <v>88</v>
      </c>
      <c r="I24" s="62" t="s">
        <v>58</v>
      </c>
      <c r="J24" s="62" t="s">
        <v>57</v>
      </c>
      <c r="K24" s="179" t="s">
        <v>62</v>
      </c>
    </row>
    <row r="25" spans="1:14" ht="16.2" customHeight="1" x14ac:dyDescent="0.3">
      <c r="A25" s="151">
        <v>1</v>
      </c>
      <c r="B25" s="150">
        <v>4</v>
      </c>
      <c r="C25" s="148" t="s">
        <v>89</v>
      </c>
      <c r="D25" s="148">
        <v>3</v>
      </c>
      <c r="E25" s="148">
        <f>B25*21</f>
        <v>84</v>
      </c>
      <c r="F25" s="175">
        <f>D25*E25</f>
        <v>252</v>
      </c>
      <c r="G25" s="147">
        <v>4</v>
      </c>
      <c r="H25" s="148" t="s">
        <v>89</v>
      </c>
      <c r="I25" s="148">
        <v>1</v>
      </c>
      <c r="J25" s="148">
        <f>G25*21</f>
        <v>84</v>
      </c>
      <c r="K25" s="265">
        <f>I25*J25</f>
        <v>84</v>
      </c>
      <c r="M25" t="s">
        <v>85</v>
      </c>
      <c r="N25" t="s">
        <v>105</v>
      </c>
    </row>
    <row r="26" spans="1:14" ht="16.2" customHeight="1" x14ac:dyDescent="0.3">
      <c r="A26" s="143">
        <v>1</v>
      </c>
      <c r="B26" s="141">
        <v>1</v>
      </c>
      <c r="C26" s="62" t="s">
        <v>103</v>
      </c>
      <c r="D26" s="62">
        <v>3</v>
      </c>
      <c r="E26" s="62">
        <f>B26*14.4</f>
        <v>14.4</v>
      </c>
      <c r="F26" s="165">
        <f>D26*E26</f>
        <v>43.2</v>
      </c>
      <c r="G26" s="140">
        <v>1</v>
      </c>
      <c r="H26" s="62" t="s">
        <v>103</v>
      </c>
      <c r="I26" s="62">
        <v>1</v>
      </c>
      <c r="J26" s="62">
        <f>G26*14.4</f>
        <v>14.4</v>
      </c>
      <c r="K26" s="266">
        <f t="shared" ref="K26:K36" si="2">I26*J26</f>
        <v>14.4</v>
      </c>
      <c r="M26" t="s">
        <v>86</v>
      </c>
      <c r="N26" t="s">
        <v>106</v>
      </c>
    </row>
    <row r="27" spans="1:14" ht="16.2" customHeight="1" x14ac:dyDescent="0.3">
      <c r="A27" s="143">
        <v>2</v>
      </c>
      <c r="B27" s="141">
        <v>0</v>
      </c>
      <c r="C27" s="62" t="s">
        <v>89</v>
      </c>
      <c r="D27" s="62"/>
      <c r="E27" s="62"/>
      <c r="F27" s="165"/>
      <c r="G27" s="140">
        <v>0</v>
      </c>
      <c r="H27" s="62" t="s">
        <v>89</v>
      </c>
      <c r="I27" s="62"/>
      <c r="J27" s="62"/>
      <c r="K27" s="266"/>
    </row>
    <row r="28" spans="1:14" ht="16.2" customHeight="1" x14ac:dyDescent="0.3">
      <c r="A28" s="143">
        <v>2</v>
      </c>
      <c r="B28" s="141">
        <v>2</v>
      </c>
      <c r="C28" s="62" t="s">
        <v>103</v>
      </c>
      <c r="D28" s="62">
        <v>-1</v>
      </c>
      <c r="E28" s="62">
        <f>B28*14.4</f>
        <v>28.8</v>
      </c>
      <c r="F28" s="165">
        <f t="shared" ref="F28" si="3">D28*E28</f>
        <v>-28.8</v>
      </c>
      <c r="G28" s="140">
        <v>2</v>
      </c>
      <c r="H28" s="62" t="s">
        <v>103</v>
      </c>
      <c r="I28" s="62">
        <v>3</v>
      </c>
      <c r="J28" s="62">
        <f t="shared" ref="J28:J32" si="4">G28*14.4</f>
        <v>28.8</v>
      </c>
      <c r="K28" s="266">
        <f t="shared" si="2"/>
        <v>86.4</v>
      </c>
    </row>
    <row r="29" spans="1:14" ht="16.2" customHeight="1" x14ac:dyDescent="0.3">
      <c r="A29" s="143">
        <v>3</v>
      </c>
      <c r="B29" s="141">
        <v>0</v>
      </c>
      <c r="C29" s="62" t="s">
        <v>89</v>
      </c>
      <c r="D29" s="62"/>
      <c r="E29" s="62"/>
      <c r="F29" s="165"/>
      <c r="G29" s="140">
        <v>0</v>
      </c>
      <c r="H29" s="62" t="s">
        <v>89</v>
      </c>
      <c r="I29" s="62"/>
      <c r="J29" s="62"/>
      <c r="K29" s="266"/>
    </row>
    <row r="30" spans="1:14" ht="16.2" customHeight="1" x14ac:dyDescent="0.3">
      <c r="A30" s="143">
        <v>3</v>
      </c>
      <c r="B30" s="141">
        <v>3</v>
      </c>
      <c r="C30" s="62" t="s">
        <v>103</v>
      </c>
      <c r="D30" s="62">
        <v>-2</v>
      </c>
      <c r="E30" s="62">
        <f>B30*14.4</f>
        <v>43.2</v>
      </c>
      <c r="F30" s="165">
        <f t="shared" ref="F30:F36" si="5">D30*E30</f>
        <v>-86.4</v>
      </c>
      <c r="G30" s="140">
        <v>3</v>
      </c>
      <c r="H30" s="62" t="s">
        <v>103</v>
      </c>
      <c r="I30" s="62">
        <v>1.5</v>
      </c>
      <c r="J30" s="62">
        <f t="shared" si="4"/>
        <v>43.2</v>
      </c>
      <c r="K30" s="266">
        <f t="shared" si="2"/>
        <v>64.800000000000011</v>
      </c>
    </row>
    <row r="31" spans="1:14" ht="16.2" customHeight="1" x14ac:dyDescent="0.3">
      <c r="A31" s="143">
        <v>4</v>
      </c>
      <c r="B31" s="141">
        <v>2</v>
      </c>
      <c r="C31" s="62" t="s">
        <v>89</v>
      </c>
      <c r="D31" s="62">
        <v>-2</v>
      </c>
      <c r="E31" s="62">
        <f>B31*21</f>
        <v>42</v>
      </c>
      <c r="F31" s="165">
        <f>D31*E31</f>
        <v>-84</v>
      </c>
      <c r="G31" s="140">
        <v>2</v>
      </c>
      <c r="H31" s="62" t="s">
        <v>89</v>
      </c>
      <c r="I31" s="62">
        <v>-1.5</v>
      </c>
      <c r="J31" s="62">
        <f>G31*21</f>
        <v>42</v>
      </c>
      <c r="K31" s="266">
        <f>I31*J31</f>
        <v>-63</v>
      </c>
    </row>
    <row r="32" spans="1:14" ht="16.2" customHeight="1" x14ac:dyDescent="0.3">
      <c r="A32" s="143">
        <v>4</v>
      </c>
      <c r="B32" s="141">
        <v>2</v>
      </c>
      <c r="C32" s="62" t="s">
        <v>103</v>
      </c>
      <c r="D32" s="62">
        <v>-2</v>
      </c>
      <c r="E32" s="62">
        <f>B32*14.4</f>
        <v>28.8</v>
      </c>
      <c r="F32" s="165">
        <f t="shared" si="5"/>
        <v>-57.6</v>
      </c>
      <c r="G32" s="140">
        <v>2</v>
      </c>
      <c r="H32" s="62" t="s">
        <v>103</v>
      </c>
      <c r="I32" s="62">
        <v>-1.5</v>
      </c>
      <c r="J32" s="62">
        <f t="shared" si="4"/>
        <v>28.8</v>
      </c>
      <c r="K32" s="266">
        <f t="shared" si="2"/>
        <v>-43.2</v>
      </c>
    </row>
    <row r="33" spans="1:14" ht="16.2" customHeight="1" x14ac:dyDescent="0.3">
      <c r="A33" s="143">
        <v>5</v>
      </c>
      <c r="B33" s="141">
        <v>3</v>
      </c>
      <c r="C33" s="62" t="s">
        <v>89</v>
      </c>
      <c r="D33" s="62">
        <v>-1</v>
      </c>
      <c r="E33" s="62">
        <f>B33*21</f>
        <v>63</v>
      </c>
      <c r="F33" s="165">
        <f>D33*E33</f>
        <v>-63</v>
      </c>
      <c r="G33" s="140">
        <v>3</v>
      </c>
      <c r="H33" s="62" t="s">
        <v>89</v>
      </c>
      <c r="I33" s="62">
        <v>-3</v>
      </c>
      <c r="J33" s="62">
        <f>G33*21</f>
        <v>63</v>
      </c>
      <c r="K33" s="266">
        <f>I33*J33</f>
        <v>-189</v>
      </c>
    </row>
    <row r="34" spans="1:14" ht="16.2" customHeight="1" x14ac:dyDescent="0.3">
      <c r="A34" s="143">
        <v>5</v>
      </c>
      <c r="B34" s="141">
        <v>2</v>
      </c>
      <c r="C34" s="62" t="s">
        <v>103</v>
      </c>
      <c r="D34" s="62">
        <v>-1</v>
      </c>
      <c r="E34" s="62">
        <f>B34*14.4</f>
        <v>28.8</v>
      </c>
      <c r="F34" s="165">
        <f t="shared" si="5"/>
        <v>-28.8</v>
      </c>
      <c r="G34" s="140">
        <v>2</v>
      </c>
      <c r="H34" s="62" t="s">
        <v>103</v>
      </c>
      <c r="I34" s="62">
        <v>-3</v>
      </c>
      <c r="J34" s="62">
        <f>G34*14.4</f>
        <v>28.8</v>
      </c>
      <c r="K34" s="266">
        <f t="shared" si="2"/>
        <v>-86.4</v>
      </c>
    </row>
    <row r="35" spans="1:14" ht="16.2" customHeight="1" x14ac:dyDescent="0.3">
      <c r="A35" s="143">
        <v>6</v>
      </c>
      <c r="B35" s="146">
        <v>4</v>
      </c>
      <c r="C35" s="64" t="s">
        <v>89</v>
      </c>
      <c r="D35" s="64">
        <v>3</v>
      </c>
      <c r="E35" s="64">
        <f>B35*21</f>
        <v>84</v>
      </c>
      <c r="F35" s="165">
        <f t="shared" si="5"/>
        <v>252</v>
      </c>
      <c r="G35" s="149">
        <v>4</v>
      </c>
      <c r="H35" s="64" t="s">
        <v>89</v>
      </c>
      <c r="I35" s="64">
        <v>-1</v>
      </c>
      <c r="J35" s="64">
        <f>G35*21</f>
        <v>84</v>
      </c>
      <c r="K35" s="266">
        <f t="shared" si="2"/>
        <v>-84</v>
      </c>
    </row>
    <row r="36" spans="1:14" ht="16.2" customHeight="1" thickBot="1" x14ac:dyDescent="0.35">
      <c r="A36" s="144">
        <v>6</v>
      </c>
      <c r="B36" s="146">
        <v>0</v>
      </c>
      <c r="C36" s="64" t="s">
        <v>103</v>
      </c>
      <c r="D36" s="64">
        <v>3</v>
      </c>
      <c r="E36" s="64">
        <f>B36*14.4</f>
        <v>0</v>
      </c>
      <c r="F36" s="165">
        <f t="shared" si="5"/>
        <v>0</v>
      </c>
      <c r="G36" s="149">
        <v>0</v>
      </c>
      <c r="H36" s="64" t="s">
        <v>103</v>
      </c>
      <c r="I36" s="64">
        <v>-1</v>
      </c>
      <c r="J36" s="64">
        <f>G36*14.4</f>
        <v>0</v>
      </c>
      <c r="K36" s="266">
        <f t="shared" si="2"/>
        <v>0</v>
      </c>
    </row>
    <row r="37" spans="1:14" ht="16.2" customHeight="1" x14ac:dyDescent="0.3">
      <c r="A37" s="151"/>
      <c r="B37" s="172">
        <f>B25+B27+B29+B31+B33+B35</f>
        <v>13</v>
      </c>
      <c r="C37" s="130" t="s">
        <v>89</v>
      </c>
      <c r="D37" s="130"/>
      <c r="E37" s="130"/>
      <c r="F37" s="175"/>
      <c r="G37" s="129"/>
      <c r="H37" s="130"/>
      <c r="I37" s="130"/>
      <c r="J37" s="130"/>
      <c r="K37" s="266"/>
    </row>
    <row r="38" spans="1:14" ht="19.2" customHeight="1" thickBot="1" x14ac:dyDescent="0.35">
      <c r="A38" s="164" t="s">
        <v>116</v>
      </c>
      <c r="B38" s="145">
        <f>B26+B28+B30+B32+B34+B36</f>
        <v>10</v>
      </c>
      <c r="C38" s="66" t="s">
        <v>103</v>
      </c>
      <c r="D38" s="66"/>
      <c r="E38" s="134">
        <f>SUM(E25:E36)</f>
        <v>417.00000000000006</v>
      </c>
      <c r="F38" s="176"/>
      <c r="G38" s="53"/>
      <c r="H38" s="64"/>
      <c r="I38" s="64"/>
      <c r="J38" s="135">
        <f>SUM(J25:J36)</f>
        <v>417.00000000000006</v>
      </c>
      <c r="K38" s="267"/>
    </row>
    <row r="39" spans="1:14" x14ac:dyDescent="0.3">
      <c r="A39" s="128"/>
      <c r="B39" s="137"/>
      <c r="C39" s="133"/>
      <c r="D39" s="131" t="s">
        <v>90</v>
      </c>
      <c r="E39" s="130"/>
      <c r="F39" s="177">
        <f>SUM(F25:F36)</f>
        <v>198.59999999999997</v>
      </c>
      <c r="G39" s="129"/>
      <c r="H39" s="130"/>
      <c r="I39" s="131" t="s">
        <v>92</v>
      </c>
      <c r="J39" s="130"/>
      <c r="K39" s="170">
        <f>SUM(K25:K36)</f>
        <v>-215.99999999999997</v>
      </c>
    </row>
    <row r="40" spans="1:14" ht="15" thickBot="1" x14ac:dyDescent="0.35">
      <c r="A40" s="126" t="s">
        <v>115</v>
      </c>
      <c r="B40" s="138"/>
      <c r="C40" s="134"/>
      <c r="D40" s="66"/>
      <c r="E40" s="66"/>
      <c r="F40" s="178" t="s">
        <v>97</v>
      </c>
      <c r="G40" s="54"/>
      <c r="H40" s="66"/>
      <c r="I40" s="66"/>
      <c r="J40" s="66"/>
      <c r="K40" s="171" t="s">
        <v>114</v>
      </c>
    </row>
    <row r="41" spans="1:14" hidden="1" x14ac:dyDescent="0.3">
      <c r="A41" s="125" t="s">
        <v>96</v>
      </c>
      <c r="B41" s="139" t="s">
        <v>101</v>
      </c>
      <c r="C41" s="135" t="s">
        <v>102</v>
      </c>
      <c r="D41" s="64"/>
      <c r="E41" s="64"/>
      <c r="F41" s="161">
        <v>224</v>
      </c>
      <c r="G41" s="64"/>
      <c r="H41" s="64"/>
      <c r="I41" s="64"/>
      <c r="J41" s="64"/>
      <c r="K41" s="161">
        <v>81</v>
      </c>
    </row>
    <row r="42" spans="1:14" ht="15" hidden="1" thickBot="1" x14ac:dyDescent="0.35">
      <c r="B42" s="53" t="s">
        <v>111</v>
      </c>
      <c r="C42" s="64"/>
      <c r="D42" s="135"/>
      <c r="E42" s="136"/>
      <c r="F42" s="162" t="s">
        <v>97</v>
      </c>
      <c r="G42" s="64"/>
      <c r="H42" s="64"/>
      <c r="I42" s="64"/>
      <c r="J42" s="65"/>
      <c r="K42" s="162" t="s">
        <v>98</v>
      </c>
    </row>
    <row r="43" spans="1:14" hidden="1" x14ac:dyDescent="0.3">
      <c r="A43" s="128" t="s">
        <v>99</v>
      </c>
      <c r="B43" s="129">
        <f>E38</f>
        <v>417.00000000000006</v>
      </c>
      <c r="C43" s="130"/>
      <c r="D43" s="130"/>
      <c r="E43" s="130"/>
      <c r="F43" s="159">
        <f>F41+F39</f>
        <v>422.59999999999997</v>
      </c>
      <c r="G43" s="133"/>
      <c r="H43" s="133"/>
      <c r="I43" s="133"/>
      <c r="J43" s="133"/>
      <c r="K43" s="159">
        <f>K39+K41</f>
        <v>-134.99999999999997</v>
      </c>
    </row>
    <row r="44" spans="1:14" ht="15" hidden="1" thickBot="1" x14ac:dyDescent="0.35">
      <c r="A44" s="132"/>
      <c r="B44" s="54"/>
      <c r="C44" s="66"/>
      <c r="D44" s="66"/>
      <c r="E44" s="66"/>
      <c r="F44" s="163" t="s">
        <v>104</v>
      </c>
      <c r="G44" s="134"/>
      <c r="H44" s="134"/>
      <c r="I44" s="134"/>
      <c r="J44" s="134"/>
      <c r="K44" s="163" t="s">
        <v>94</v>
      </c>
    </row>
    <row r="45" spans="1:14" x14ac:dyDescent="0.3">
      <c r="M45" t="s">
        <v>85</v>
      </c>
      <c r="N45" t="s">
        <v>105</v>
      </c>
    </row>
    <row r="46" spans="1:14" x14ac:dyDescent="0.3">
      <c r="A46" s="173" t="s">
        <v>117</v>
      </c>
      <c r="M46" t="s">
        <v>86</v>
      </c>
      <c r="N46" t="s">
        <v>106</v>
      </c>
    </row>
    <row r="48" spans="1:14" ht="15" thickBot="1" x14ac:dyDescent="0.35"/>
    <row r="49" spans="1:12" ht="31.2" customHeight="1" thickBot="1" x14ac:dyDescent="0.35">
      <c r="A49" s="264" t="s">
        <v>196</v>
      </c>
      <c r="B49" s="294" t="s">
        <v>52</v>
      </c>
      <c r="C49" s="295"/>
      <c r="D49" s="295"/>
      <c r="E49" s="295"/>
      <c r="F49" s="295"/>
      <c r="G49" s="294" t="s">
        <v>53</v>
      </c>
      <c r="H49" s="295"/>
      <c r="I49" s="295"/>
      <c r="J49" s="295"/>
      <c r="K49" s="296"/>
    </row>
    <row r="50" spans="1:12" ht="43.8" thickBot="1" x14ac:dyDescent="0.35">
      <c r="A50" s="142" t="s">
        <v>84</v>
      </c>
      <c r="B50" s="140" t="s">
        <v>87</v>
      </c>
      <c r="C50" s="62" t="s">
        <v>88</v>
      </c>
      <c r="D50" s="62" t="s">
        <v>58</v>
      </c>
      <c r="E50" s="62" t="s">
        <v>57</v>
      </c>
      <c r="F50" s="174" t="s">
        <v>62</v>
      </c>
      <c r="G50" s="140" t="s">
        <v>87</v>
      </c>
      <c r="H50" s="62" t="s">
        <v>88</v>
      </c>
      <c r="I50" s="62" t="s">
        <v>58</v>
      </c>
      <c r="J50" s="62" t="s">
        <v>57</v>
      </c>
      <c r="K50" s="179" t="s">
        <v>62</v>
      </c>
    </row>
    <row r="51" spans="1:12" ht="16.2" customHeight="1" x14ac:dyDescent="0.3">
      <c r="A51" s="151">
        <v>1</v>
      </c>
      <c r="B51" s="150">
        <v>6</v>
      </c>
      <c r="C51" s="148" t="s">
        <v>89</v>
      </c>
      <c r="D51" s="148">
        <v>3</v>
      </c>
      <c r="E51" s="148">
        <f>B51*21</f>
        <v>126</v>
      </c>
      <c r="F51" s="175">
        <f>D51*E51</f>
        <v>378</v>
      </c>
      <c r="G51" s="147">
        <v>6</v>
      </c>
      <c r="H51" s="148" t="s">
        <v>89</v>
      </c>
      <c r="I51" s="148">
        <v>1</v>
      </c>
      <c r="J51" s="148">
        <f>G51*21</f>
        <v>126</v>
      </c>
      <c r="K51" s="265">
        <f>I51*J51</f>
        <v>126</v>
      </c>
    </row>
    <row r="52" spans="1:12" ht="16.2" customHeight="1" x14ac:dyDescent="0.3">
      <c r="A52" s="143">
        <v>1</v>
      </c>
      <c r="B52" s="141">
        <v>0</v>
      </c>
      <c r="C52" s="268" t="s">
        <v>103</v>
      </c>
      <c r="D52" s="62">
        <v>3</v>
      </c>
      <c r="E52" s="62">
        <f>B52*14.4</f>
        <v>0</v>
      </c>
      <c r="F52" s="165">
        <f>D52*E52</f>
        <v>0</v>
      </c>
      <c r="G52" s="140">
        <v>0</v>
      </c>
      <c r="H52" s="62" t="s">
        <v>103</v>
      </c>
      <c r="I52" s="62">
        <v>1</v>
      </c>
      <c r="J52" s="62">
        <f>G52*14.4</f>
        <v>0</v>
      </c>
      <c r="K52" s="266">
        <f t="shared" ref="K52" si="6">I52*J52</f>
        <v>0</v>
      </c>
    </row>
    <row r="53" spans="1:12" ht="16.2" customHeight="1" x14ac:dyDescent="0.3">
      <c r="A53" s="271" t="s">
        <v>197</v>
      </c>
      <c r="B53" s="272">
        <v>5</v>
      </c>
      <c r="C53" s="273" t="s">
        <v>89</v>
      </c>
      <c r="D53" s="273">
        <v>2</v>
      </c>
      <c r="E53" s="273">
        <f>B53*21</f>
        <v>105</v>
      </c>
      <c r="F53" s="274">
        <f>D53*E53</f>
        <v>210</v>
      </c>
      <c r="G53" s="275">
        <v>5</v>
      </c>
      <c r="H53" s="273" t="s">
        <v>89</v>
      </c>
      <c r="I53" s="273">
        <v>1.5</v>
      </c>
      <c r="J53" s="273">
        <f>G53*21</f>
        <v>105</v>
      </c>
      <c r="K53" s="276">
        <f t="shared" ref="K53:K56" si="7">I53*J53</f>
        <v>157.5</v>
      </c>
      <c r="L53" t="s">
        <v>203</v>
      </c>
    </row>
    <row r="54" spans="1:12" ht="16.2" customHeight="1" x14ac:dyDescent="0.3">
      <c r="A54" s="271" t="s">
        <v>198</v>
      </c>
      <c r="B54" s="272">
        <v>4</v>
      </c>
      <c r="C54" s="273" t="s">
        <v>89</v>
      </c>
      <c r="D54" s="273">
        <v>0</v>
      </c>
      <c r="E54" s="273">
        <f>B54*21</f>
        <v>84</v>
      </c>
      <c r="F54" s="274">
        <f>D54*E54</f>
        <v>0</v>
      </c>
      <c r="G54" s="275">
        <v>4</v>
      </c>
      <c r="H54" s="273" t="s">
        <v>89</v>
      </c>
      <c r="I54" s="273">
        <v>3</v>
      </c>
      <c r="J54" s="273">
        <f>G54*21</f>
        <v>84</v>
      </c>
      <c r="K54" s="276">
        <f t="shared" si="7"/>
        <v>252</v>
      </c>
      <c r="L54" t="s">
        <v>203</v>
      </c>
    </row>
    <row r="55" spans="1:12" ht="16.2" customHeight="1" x14ac:dyDescent="0.3">
      <c r="A55" s="143">
        <v>2</v>
      </c>
      <c r="B55" s="141">
        <v>4</v>
      </c>
      <c r="C55" s="62" t="s">
        <v>89</v>
      </c>
      <c r="D55" s="62">
        <v>-1</v>
      </c>
      <c r="E55" s="62">
        <f>B55*21</f>
        <v>84</v>
      </c>
      <c r="F55" s="165">
        <f>D55*E55</f>
        <v>-84</v>
      </c>
      <c r="G55" s="140">
        <v>4</v>
      </c>
      <c r="H55" s="62" t="s">
        <v>89</v>
      </c>
      <c r="I55" s="62">
        <v>3</v>
      </c>
      <c r="J55" s="62">
        <f>G55*21</f>
        <v>84</v>
      </c>
      <c r="K55" s="266">
        <f t="shared" si="7"/>
        <v>252</v>
      </c>
    </row>
    <row r="56" spans="1:12" ht="16.2" customHeight="1" x14ac:dyDescent="0.3">
      <c r="A56" s="143">
        <v>2</v>
      </c>
      <c r="B56" s="141">
        <v>0</v>
      </c>
      <c r="C56" s="62" t="s">
        <v>103</v>
      </c>
      <c r="D56" s="62">
        <v>-1</v>
      </c>
      <c r="E56" s="62">
        <f>B56*14.4</f>
        <v>0</v>
      </c>
      <c r="F56" s="165">
        <f t="shared" ref="F56" si="8">D56*E56</f>
        <v>0</v>
      </c>
      <c r="G56" s="140">
        <v>0</v>
      </c>
      <c r="H56" s="62" t="s">
        <v>103</v>
      </c>
      <c r="I56" s="62">
        <v>3</v>
      </c>
      <c r="J56" s="62">
        <f t="shared" ref="J56" si="9">G56*14.4</f>
        <v>0</v>
      </c>
      <c r="K56" s="266">
        <f t="shared" si="7"/>
        <v>0</v>
      </c>
    </row>
    <row r="57" spans="1:12" ht="16.2" customHeight="1" x14ac:dyDescent="0.3">
      <c r="A57" s="143">
        <v>3</v>
      </c>
      <c r="B57" s="141">
        <v>0</v>
      </c>
      <c r="C57" s="62" t="s">
        <v>89</v>
      </c>
      <c r="D57" s="62"/>
      <c r="E57" s="62"/>
      <c r="F57" s="165"/>
      <c r="G57" s="140">
        <v>0</v>
      </c>
      <c r="H57" s="62" t="s">
        <v>89</v>
      </c>
      <c r="I57" s="62"/>
      <c r="J57" s="62"/>
      <c r="K57" s="266"/>
    </row>
    <row r="58" spans="1:12" ht="16.2" customHeight="1" x14ac:dyDescent="0.3">
      <c r="A58" s="143">
        <v>3</v>
      </c>
      <c r="B58" s="141">
        <v>3</v>
      </c>
      <c r="C58" s="62" t="s">
        <v>103</v>
      </c>
      <c r="D58" s="62">
        <v>-2</v>
      </c>
      <c r="E58" s="62">
        <f>B58*14.4</f>
        <v>43.2</v>
      </c>
      <c r="F58" s="165">
        <f t="shared" ref="F58" si="10">D58*E58</f>
        <v>-86.4</v>
      </c>
      <c r="G58" s="140">
        <v>3</v>
      </c>
      <c r="H58" s="62" t="s">
        <v>103</v>
      </c>
      <c r="I58" s="62">
        <v>1.5</v>
      </c>
      <c r="J58" s="62">
        <f t="shared" ref="J58" si="11">G58*14.4</f>
        <v>43.2</v>
      </c>
      <c r="K58" s="266">
        <f t="shared" ref="K58" si="12">I58*J58</f>
        <v>64.800000000000011</v>
      </c>
    </row>
    <row r="59" spans="1:12" ht="16.2" customHeight="1" x14ac:dyDescent="0.3">
      <c r="A59" s="143">
        <v>4</v>
      </c>
      <c r="B59" s="141">
        <v>2</v>
      </c>
      <c r="C59" s="62" t="s">
        <v>89</v>
      </c>
      <c r="D59" s="62">
        <v>-2</v>
      </c>
      <c r="E59" s="62">
        <f>B59*21</f>
        <v>42</v>
      </c>
      <c r="F59" s="165">
        <f>D59*E59</f>
        <v>-84</v>
      </c>
      <c r="G59" s="140">
        <v>2</v>
      </c>
      <c r="H59" s="62" t="s">
        <v>89</v>
      </c>
      <c r="I59" s="62">
        <v>-1.5</v>
      </c>
      <c r="J59" s="62">
        <f>G59*21</f>
        <v>42</v>
      </c>
      <c r="K59" s="266">
        <f>I59*J59</f>
        <v>-63</v>
      </c>
    </row>
    <row r="60" spans="1:12" ht="16.2" customHeight="1" x14ac:dyDescent="0.3">
      <c r="A60" s="143">
        <v>4</v>
      </c>
      <c r="B60" s="141">
        <v>2</v>
      </c>
      <c r="C60" s="62" t="s">
        <v>103</v>
      </c>
      <c r="D60" s="62">
        <v>-2</v>
      </c>
      <c r="E60" s="62">
        <f>B60*14.4</f>
        <v>28.8</v>
      </c>
      <c r="F60" s="165">
        <f t="shared" ref="F60" si="13">D60*E60</f>
        <v>-57.6</v>
      </c>
      <c r="G60" s="140">
        <v>2</v>
      </c>
      <c r="H60" s="62" t="s">
        <v>103</v>
      </c>
      <c r="I60" s="62">
        <v>-1.5</v>
      </c>
      <c r="J60" s="62">
        <f t="shared" ref="J60" si="14">G60*14.4</f>
        <v>28.8</v>
      </c>
      <c r="K60" s="266">
        <f t="shared" ref="K60" si="15">I60*J60</f>
        <v>-43.2</v>
      </c>
    </row>
    <row r="61" spans="1:12" ht="16.2" customHeight="1" x14ac:dyDescent="0.3">
      <c r="A61" s="143">
        <v>5</v>
      </c>
      <c r="B61" s="141">
        <v>2</v>
      </c>
      <c r="C61" s="62" t="s">
        <v>89</v>
      </c>
      <c r="D61" s="62">
        <v>-1</v>
      </c>
      <c r="E61" s="62">
        <f>B61*21</f>
        <v>42</v>
      </c>
      <c r="F61" s="165">
        <f>D61*E61</f>
        <v>-42</v>
      </c>
      <c r="G61" s="140">
        <v>2</v>
      </c>
      <c r="H61" s="62" t="s">
        <v>89</v>
      </c>
      <c r="I61" s="62">
        <v>-3</v>
      </c>
      <c r="J61" s="62">
        <f>G61*21</f>
        <v>42</v>
      </c>
      <c r="K61" s="266">
        <f>I61*J61</f>
        <v>-126</v>
      </c>
    </row>
    <row r="62" spans="1:12" ht="16.2" customHeight="1" x14ac:dyDescent="0.3">
      <c r="A62" s="143">
        <v>5</v>
      </c>
      <c r="B62" s="141">
        <v>0</v>
      </c>
      <c r="C62" s="62" t="s">
        <v>103</v>
      </c>
      <c r="D62" s="62">
        <v>-1</v>
      </c>
      <c r="E62" s="62">
        <f>B62*14.4</f>
        <v>0</v>
      </c>
      <c r="F62" s="165">
        <f t="shared" ref="F62:F64" si="16">D62*E62</f>
        <v>0</v>
      </c>
      <c r="G62" s="140">
        <v>0</v>
      </c>
      <c r="H62" s="62" t="s">
        <v>103</v>
      </c>
      <c r="I62" s="62">
        <v>-3</v>
      </c>
      <c r="J62" s="62">
        <f>G62*14.4</f>
        <v>0</v>
      </c>
      <c r="K62" s="266">
        <f t="shared" ref="K62:K64" si="17">I62*J62</f>
        <v>0</v>
      </c>
    </row>
    <row r="63" spans="1:12" ht="16.2" customHeight="1" x14ac:dyDescent="0.3">
      <c r="A63" s="143">
        <v>6</v>
      </c>
      <c r="B63" s="146">
        <v>6</v>
      </c>
      <c r="C63" s="64" t="s">
        <v>89</v>
      </c>
      <c r="D63" s="64">
        <v>3</v>
      </c>
      <c r="E63" s="64">
        <f>B63*21</f>
        <v>126</v>
      </c>
      <c r="F63" s="165">
        <f t="shared" si="16"/>
        <v>378</v>
      </c>
      <c r="G63" s="149">
        <v>6</v>
      </c>
      <c r="H63" s="64" t="s">
        <v>89</v>
      </c>
      <c r="I63" s="64">
        <v>-1</v>
      </c>
      <c r="J63" s="64">
        <f>G63*21</f>
        <v>126</v>
      </c>
      <c r="K63" s="266">
        <f t="shared" si="17"/>
        <v>-126</v>
      </c>
    </row>
    <row r="64" spans="1:12" ht="16.2" customHeight="1" thickBot="1" x14ac:dyDescent="0.35">
      <c r="A64" s="144">
        <v>6</v>
      </c>
      <c r="B64" s="146">
        <v>0</v>
      </c>
      <c r="C64" s="64" t="s">
        <v>103</v>
      </c>
      <c r="D64" s="64">
        <v>3</v>
      </c>
      <c r="E64" s="64">
        <f>B64*14.4</f>
        <v>0</v>
      </c>
      <c r="F64" s="165">
        <f t="shared" si="16"/>
        <v>0</v>
      </c>
      <c r="G64" s="149">
        <v>0</v>
      </c>
      <c r="H64" s="64" t="s">
        <v>103</v>
      </c>
      <c r="I64" s="64">
        <v>-1</v>
      </c>
      <c r="J64" s="64">
        <f>G64*14.4</f>
        <v>0</v>
      </c>
      <c r="K64" s="266">
        <f t="shared" si="17"/>
        <v>0</v>
      </c>
    </row>
    <row r="65" spans="1:11" ht="16.2" customHeight="1" x14ac:dyDescent="0.3">
      <c r="A65" s="151"/>
      <c r="B65" s="172">
        <f>B51+B53+B54+B55+B57+B59+B61+B63</f>
        <v>29</v>
      </c>
      <c r="C65" s="130" t="s">
        <v>89</v>
      </c>
      <c r="D65" s="130"/>
      <c r="E65" s="130"/>
      <c r="F65" s="175"/>
      <c r="G65" s="129"/>
      <c r="H65" s="130"/>
      <c r="I65" s="130"/>
      <c r="J65" s="130"/>
      <c r="K65" s="266"/>
    </row>
    <row r="66" spans="1:11" ht="19.2" customHeight="1" thickBot="1" x14ac:dyDescent="0.35">
      <c r="A66" s="164" t="s">
        <v>116</v>
      </c>
      <c r="B66" s="145">
        <f>B52+B56+B58+B60+B62+B64</f>
        <v>5</v>
      </c>
      <c r="C66" s="66" t="s">
        <v>103</v>
      </c>
      <c r="D66" s="66"/>
      <c r="E66" s="134">
        <f>SUM(E51:E64)</f>
        <v>681</v>
      </c>
      <c r="F66" s="176"/>
      <c r="G66" s="53"/>
      <c r="H66" s="64"/>
      <c r="I66" s="64"/>
      <c r="J66" s="135">
        <f>SUM(J51:J64)</f>
        <v>681</v>
      </c>
      <c r="K66" s="267"/>
    </row>
    <row r="67" spans="1:11" x14ac:dyDescent="0.3">
      <c r="A67" s="128"/>
      <c r="B67" s="137"/>
      <c r="C67" s="133"/>
      <c r="D67" s="131" t="s">
        <v>90</v>
      </c>
      <c r="E67" s="130"/>
      <c r="F67" s="177">
        <f>SUM(F51:F64)</f>
        <v>612</v>
      </c>
      <c r="G67" s="129"/>
      <c r="H67" s="130"/>
      <c r="I67" s="131" t="s">
        <v>92</v>
      </c>
      <c r="J67" s="130"/>
      <c r="K67" s="170">
        <f>SUM(K51:K64)</f>
        <v>494.09999999999991</v>
      </c>
    </row>
    <row r="68" spans="1:11" ht="15" thickBot="1" x14ac:dyDescent="0.35">
      <c r="A68" s="126" t="s">
        <v>115</v>
      </c>
      <c r="B68" s="138"/>
      <c r="C68" s="134"/>
      <c r="D68" s="66"/>
      <c r="E68" s="66"/>
      <c r="F68" s="178" t="s">
        <v>97</v>
      </c>
      <c r="G68" s="54"/>
      <c r="H68" s="66"/>
      <c r="I68" s="66"/>
      <c r="J68" s="66"/>
      <c r="K68" s="171" t="s">
        <v>98</v>
      </c>
    </row>
  </sheetData>
  <mergeCells count="6">
    <mergeCell ref="B49:F49"/>
    <mergeCell ref="G49:K49"/>
    <mergeCell ref="B4:F4"/>
    <mergeCell ref="G4:K4"/>
    <mergeCell ref="B23:F23"/>
    <mergeCell ref="G23:K23"/>
  </mergeCells>
  <pageMargins left="0.25" right="0.25" top="0.75" bottom="0.75" header="0.3" footer="0.3"/>
  <pageSetup scale="72" orientation="landscape" r:id="rId1"/>
  <ignoredErrors>
    <ignoredError sqref="E3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zoomScale="110" zoomScaleNormal="110" workbookViewId="0">
      <selection activeCell="E17" sqref="E17"/>
    </sheetView>
  </sheetViews>
  <sheetFormatPr defaultRowHeight="14.4" x14ac:dyDescent="0.3"/>
  <cols>
    <col min="1" max="1" width="20.44140625" customWidth="1"/>
    <col min="2" max="2" width="3.6640625" customWidth="1"/>
    <col min="3" max="3" width="8" style="60" customWidth="1"/>
    <col min="4" max="5" width="11.109375" style="60" customWidth="1"/>
    <col min="6" max="6" width="8.33203125" style="60" customWidth="1"/>
    <col min="7" max="8" width="10" style="60" customWidth="1"/>
    <col min="9" max="9" width="9.109375" style="60" customWidth="1"/>
    <col min="10" max="10" width="11" style="60" customWidth="1"/>
    <col min="11" max="11" width="8.88671875" style="60"/>
  </cols>
  <sheetData>
    <row r="2" spans="1:11" ht="15" thickBot="1" x14ac:dyDescent="0.35"/>
    <row r="3" spans="1:11" ht="16.2" thickBot="1" x14ac:dyDescent="0.35">
      <c r="C3" s="294" t="s">
        <v>51</v>
      </c>
      <c r="D3" s="295"/>
      <c r="E3" s="296"/>
      <c r="F3" s="294" t="s">
        <v>52</v>
      </c>
      <c r="G3" s="295"/>
      <c r="H3" s="296"/>
      <c r="I3" s="294" t="s">
        <v>53</v>
      </c>
      <c r="J3" s="295"/>
      <c r="K3" s="296"/>
    </row>
    <row r="4" spans="1:11" ht="43.2" x14ac:dyDescent="0.3">
      <c r="A4" s="51" t="s">
        <v>56</v>
      </c>
      <c r="B4" s="52"/>
      <c r="C4" s="61" t="s">
        <v>58</v>
      </c>
      <c r="D4" s="62" t="s">
        <v>59</v>
      </c>
      <c r="E4" s="63" t="s">
        <v>61</v>
      </c>
      <c r="F4" s="61" t="s">
        <v>58</v>
      </c>
      <c r="G4" s="62" t="s">
        <v>57</v>
      </c>
      <c r="H4" s="63" t="s">
        <v>62</v>
      </c>
      <c r="I4" s="61" t="s">
        <v>58</v>
      </c>
      <c r="J4" s="62" t="s">
        <v>57</v>
      </c>
      <c r="K4" s="63" t="s">
        <v>63</v>
      </c>
    </row>
    <row r="5" spans="1:11" x14ac:dyDescent="0.3">
      <c r="A5" s="48" t="s">
        <v>67</v>
      </c>
      <c r="B5" s="49"/>
      <c r="C5" s="53">
        <f>166/12</f>
        <v>13.833333333333334</v>
      </c>
      <c r="D5" s="64">
        <v>160</v>
      </c>
      <c r="E5" s="55">
        <f>C5*D5</f>
        <v>2213.3333333333335</v>
      </c>
      <c r="F5" s="53">
        <f>30/12</f>
        <v>2.5</v>
      </c>
      <c r="G5" s="64">
        <v>92.3</v>
      </c>
      <c r="H5" s="55">
        <f>G5*F5</f>
        <v>230.75</v>
      </c>
      <c r="I5" s="53">
        <f>3/12</f>
        <v>0.25</v>
      </c>
      <c r="J5" s="64">
        <v>92.3</v>
      </c>
      <c r="K5" s="55">
        <f>J5*I5</f>
        <v>23.074999999999999</v>
      </c>
    </row>
    <row r="6" spans="1:11" x14ac:dyDescent="0.3">
      <c r="A6" s="48" t="s">
        <v>68</v>
      </c>
      <c r="B6" s="49"/>
      <c r="C6" s="53"/>
      <c r="D6" s="64" t="s">
        <v>60</v>
      </c>
      <c r="E6" s="55"/>
      <c r="F6" s="53">
        <f>-23.2/12</f>
        <v>-1.9333333333333333</v>
      </c>
      <c r="G6" s="64">
        <v>52.3</v>
      </c>
      <c r="H6" s="55">
        <f>G6*F6</f>
        <v>-101.11333333333333</v>
      </c>
      <c r="I6" s="53">
        <f>19.4/12</f>
        <v>1.6166666666666665</v>
      </c>
      <c r="J6" s="64">
        <v>52.3</v>
      </c>
      <c r="K6" s="55">
        <f>J6*I6</f>
        <v>84.551666666666648</v>
      </c>
    </row>
    <row r="7" spans="1:11" x14ac:dyDescent="0.3">
      <c r="A7" s="48" t="s">
        <v>69</v>
      </c>
      <c r="B7" s="49"/>
      <c r="C7" s="53"/>
      <c r="D7" s="64" t="s">
        <v>60</v>
      </c>
      <c r="E7" s="55"/>
      <c r="F7" s="53">
        <f>-21.4/12</f>
        <v>-1.7833333333333332</v>
      </c>
      <c r="G7" s="64">
        <v>15.1</v>
      </c>
      <c r="H7" s="55">
        <f>G7*F7</f>
        <v>-26.928333333333331</v>
      </c>
      <c r="I7" s="53">
        <f>-21.4/12</f>
        <v>-1.7833333333333332</v>
      </c>
      <c r="J7" s="64">
        <v>15.1</v>
      </c>
      <c r="K7" s="55">
        <f>J7*I7</f>
        <v>-26.928333333333331</v>
      </c>
    </row>
    <row r="8" spans="1:11" x14ac:dyDescent="0.3">
      <c r="A8" s="57" t="s">
        <v>77</v>
      </c>
      <c r="B8" s="49"/>
      <c r="C8" s="53"/>
      <c r="D8" s="64"/>
      <c r="E8" s="58">
        <f>SUM(E5:E7)</f>
        <v>2213.3333333333335</v>
      </c>
      <c r="F8" s="53"/>
      <c r="G8" s="64"/>
      <c r="H8" s="58">
        <f>SUM(H5:H7)</f>
        <v>102.70833333333333</v>
      </c>
      <c r="I8" s="53"/>
      <c r="J8" s="64"/>
      <c r="K8" s="58">
        <f>SUM(K5:K7)</f>
        <v>80.698333333333323</v>
      </c>
    </row>
    <row r="9" spans="1:11" x14ac:dyDescent="0.3">
      <c r="A9" s="48" t="s">
        <v>70</v>
      </c>
      <c r="B9" s="49"/>
      <c r="C9" s="53">
        <f>145/12</f>
        <v>12.083333333333334</v>
      </c>
      <c r="D9" s="64">
        <v>52</v>
      </c>
      <c r="E9" s="55">
        <f>C9*D9</f>
        <v>628.33333333333337</v>
      </c>
      <c r="F9" s="53">
        <f>28/12</f>
        <v>2.3333333333333335</v>
      </c>
      <c r="G9" s="65">
        <v>52</v>
      </c>
      <c r="H9" s="55">
        <f>G9*F9</f>
        <v>121.33333333333334</v>
      </c>
      <c r="I9" s="53" t="s">
        <v>66</v>
      </c>
      <c r="J9" s="64" t="s">
        <v>65</v>
      </c>
      <c r="K9" s="55"/>
    </row>
    <row r="10" spans="1:11" ht="15" thickBot="1" x14ac:dyDescent="0.35">
      <c r="A10" s="56" t="s">
        <v>64</v>
      </c>
      <c r="B10" s="50"/>
      <c r="C10" s="54"/>
      <c r="D10" s="66"/>
      <c r="E10" s="59">
        <f>SUM(E8:E9)</f>
        <v>2841.666666666667</v>
      </c>
      <c r="F10" s="54"/>
      <c r="G10" s="66"/>
      <c r="H10" s="59">
        <f>SUM(H8:H9)</f>
        <v>224.04166666666669</v>
      </c>
      <c r="I10" s="54"/>
      <c r="J10" s="66"/>
      <c r="K10" s="59">
        <f>SUM(K8:K9)</f>
        <v>80.698333333333323</v>
      </c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7" zoomScaleNormal="100" zoomScaleSheetLayoutView="100" workbookViewId="0">
      <selection activeCell="D6" sqref="D6"/>
    </sheetView>
  </sheetViews>
  <sheetFormatPr defaultRowHeight="14.4" x14ac:dyDescent="0.3"/>
  <cols>
    <col min="1" max="1" width="8.5546875" hidden="1" customWidth="1"/>
    <col min="2" max="2" width="36.5546875" customWidth="1"/>
    <col min="3" max="3" width="10.21875" customWidth="1"/>
    <col min="4" max="4" width="13.77734375" customWidth="1"/>
    <col min="5" max="5" width="13.109375" customWidth="1"/>
    <col min="6" max="6" width="14.109375" customWidth="1"/>
    <col min="7" max="7" width="11.33203125" customWidth="1"/>
    <col min="8" max="8" width="14.21875" customWidth="1"/>
    <col min="9" max="9" width="15.44140625" customWidth="1"/>
    <col min="10" max="10" width="18" customWidth="1"/>
    <col min="11" max="11" width="19.33203125" customWidth="1"/>
    <col min="12" max="12" width="16.21875" customWidth="1"/>
  </cols>
  <sheetData>
    <row r="1" spans="1:11" ht="23.4" x14ac:dyDescent="0.45">
      <c r="A1" t="s">
        <v>54</v>
      </c>
      <c r="B1" s="8" t="s">
        <v>27</v>
      </c>
    </row>
    <row r="2" spans="1:11" ht="21" customHeight="1" thickBot="1" x14ac:dyDescent="0.35"/>
    <row r="3" spans="1:11" ht="54" customHeight="1" x14ac:dyDescent="0.35">
      <c r="A3" s="279" t="s">
        <v>0</v>
      </c>
      <c r="B3" s="279" t="s">
        <v>1</v>
      </c>
      <c r="C3" s="280" t="s">
        <v>2</v>
      </c>
      <c r="D3" s="280" t="s">
        <v>32</v>
      </c>
      <c r="E3" s="281" t="s">
        <v>34</v>
      </c>
      <c r="F3" s="280" t="s">
        <v>5</v>
      </c>
      <c r="G3" s="299"/>
      <c r="H3" s="297" t="s">
        <v>19</v>
      </c>
      <c r="I3" s="1" t="s">
        <v>24</v>
      </c>
      <c r="K3" s="30" t="s">
        <v>39</v>
      </c>
    </row>
    <row r="4" spans="1:11" ht="23.4" customHeight="1" x14ac:dyDescent="0.35">
      <c r="A4" s="279"/>
      <c r="B4" s="279"/>
      <c r="C4" s="280"/>
      <c r="D4" s="280"/>
      <c r="E4" s="281"/>
      <c r="F4" s="6" t="s">
        <v>3</v>
      </c>
      <c r="G4" s="7" t="s">
        <v>4</v>
      </c>
      <c r="H4" s="298"/>
    </row>
    <row r="5" spans="1:11" ht="22.2" customHeight="1" x14ac:dyDescent="0.3">
      <c r="A5" s="9">
        <v>1</v>
      </c>
      <c r="B5" s="10" t="s">
        <v>9</v>
      </c>
      <c r="C5" s="11">
        <v>160</v>
      </c>
      <c r="D5" s="11">
        <f>166/12</f>
        <v>13.833333333333334</v>
      </c>
      <c r="E5" s="9" t="s">
        <v>10</v>
      </c>
      <c r="F5" s="11"/>
      <c r="G5" s="12">
        <f>C5*D5</f>
        <v>2213.3333333333335</v>
      </c>
      <c r="H5" s="13"/>
      <c r="K5" s="41">
        <f>-C5*D5^2</f>
        <v>-30617.777777777777</v>
      </c>
    </row>
    <row r="6" spans="1:11" ht="22.2" customHeight="1" x14ac:dyDescent="0.3">
      <c r="A6" s="9">
        <v>2</v>
      </c>
      <c r="B6" s="10" t="s">
        <v>23</v>
      </c>
      <c r="C6" s="11">
        <v>52</v>
      </c>
      <c r="D6" s="11">
        <f>145/12</f>
        <v>12.083333333333334</v>
      </c>
      <c r="E6" s="9" t="s">
        <v>10</v>
      </c>
      <c r="F6" s="11"/>
      <c r="G6" s="12">
        <f>C6*D6</f>
        <v>628.33333333333337</v>
      </c>
      <c r="H6" s="13"/>
      <c r="K6" s="41">
        <f>-C6*D6^2</f>
        <v>-7592.3611111111113</v>
      </c>
    </row>
    <row r="7" spans="1:11" ht="22.2" customHeight="1" x14ac:dyDescent="0.3">
      <c r="A7" s="9"/>
      <c r="B7" s="10" t="s">
        <v>50</v>
      </c>
      <c r="C7" s="11">
        <v>30</v>
      </c>
      <c r="D7" s="11">
        <v>15</v>
      </c>
      <c r="E7" s="9" t="s">
        <v>10</v>
      </c>
      <c r="F7" s="11"/>
      <c r="G7" s="12">
        <f>C7*D7</f>
        <v>450</v>
      </c>
      <c r="H7" s="13"/>
      <c r="K7" s="41"/>
    </row>
    <row r="8" spans="1:11" ht="22.2" customHeight="1" x14ac:dyDescent="0.3">
      <c r="A8" s="9"/>
      <c r="B8" s="10" t="s">
        <v>55</v>
      </c>
      <c r="C8" s="11">
        <v>30</v>
      </c>
      <c r="D8" s="11">
        <v>5</v>
      </c>
      <c r="E8" s="9" t="s">
        <v>10</v>
      </c>
      <c r="F8" s="11"/>
      <c r="G8" s="12">
        <f>C8*D8</f>
        <v>150</v>
      </c>
      <c r="H8" s="13"/>
      <c r="K8" s="41"/>
    </row>
    <row r="9" spans="1:11" ht="22.2" customHeight="1" x14ac:dyDescent="0.3">
      <c r="A9" s="9">
        <v>3</v>
      </c>
      <c r="B9" s="10" t="s">
        <v>11</v>
      </c>
      <c r="C9" s="11">
        <v>242</v>
      </c>
      <c r="D9" s="11">
        <f>169.25/12</f>
        <v>14.104166666666666</v>
      </c>
      <c r="E9" s="9" t="s">
        <v>14</v>
      </c>
      <c r="F9" s="11">
        <f>C9*D9</f>
        <v>3413.208333333333</v>
      </c>
      <c r="G9" s="12"/>
      <c r="H9" s="13"/>
      <c r="K9" s="41">
        <f>C9*D9^2</f>
        <v>48140.459201388883</v>
      </c>
    </row>
    <row r="10" spans="1:11" ht="22.2" customHeight="1" x14ac:dyDescent="0.3">
      <c r="A10" s="9">
        <v>5</v>
      </c>
      <c r="B10" s="10" t="s">
        <v>48</v>
      </c>
      <c r="C10" s="40">
        <v>284</v>
      </c>
      <c r="D10" s="11">
        <v>14.4</v>
      </c>
      <c r="E10" s="9" t="s">
        <v>14</v>
      </c>
      <c r="F10" s="11">
        <f>C10*D10</f>
        <v>4089.6</v>
      </c>
      <c r="G10" s="12"/>
      <c r="H10" s="13"/>
      <c r="I10" t="s">
        <v>108</v>
      </c>
      <c r="K10" s="41">
        <f>C10*D10^2</f>
        <v>58890.240000000005</v>
      </c>
    </row>
    <row r="11" spans="1:11" ht="22.2" customHeight="1" x14ac:dyDescent="0.3">
      <c r="A11" s="9">
        <v>6</v>
      </c>
      <c r="B11" s="10" t="s">
        <v>16</v>
      </c>
      <c r="C11" s="11">
        <v>339</v>
      </c>
      <c r="D11" s="11">
        <f>58/12</f>
        <v>4.833333333333333</v>
      </c>
      <c r="E11" s="9" t="s">
        <v>10</v>
      </c>
      <c r="F11" s="11"/>
      <c r="G11" s="12">
        <f>C11*D11</f>
        <v>1638.5</v>
      </c>
      <c r="H11" s="13"/>
      <c r="K11" s="41">
        <f>-C11*D11^2</f>
        <v>-7919.4166666666652</v>
      </c>
    </row>
    <row r="12" spans="1:11" ht="22.2" customHeight="1" x14ac:dyDescent="0.3">
      <c r="A12" s="9">
        <v>7</v>
      </c>
      <c r="B12" s="10" t="s">
        <v>17</v>
      </c>
      <c r="C12" s="11">
        <v>422.4</v>
      </c>
      <c r="D12" s="11">
        <f>58/12</f>
        <v>4.833333333333333</v>
      </c>
      <c r="E12" s="9" t="s">
        <v>14</v>
      </c>
      <c r="F12" s="11">
        <f>C12*D12</f>
        <v>2041.5999999999997</v>
      </c>
      <c r="G12" s="12"/>
      <c r="H12" s="13"/>
      <c r="K12" s="41">
        <f>C12*D12^2</f>
        <v>9867.7333333333318</v>
      </c>
    </row>
    <row r="13" spans="1:11" ht="22.2" customHeight="1" x14ac:dyDescent="0.3">
      <c r="A13" s="9">
        <v>8</v>
      </c>
      <c r="B13" s="10" t="s">
        <v>18</v>
      </c>
      <c r="C13" s="11">
        <v>140</v>
      </c>
      <c r="D13" s="11">
        <f>61/12</f>
        <v>5.083333333333333</v>
      </c>
      <c r="E13" s="9" t="s">
        <v>10</v>
      </c>
      <c r="F13" s="11"/>
      <c r="G13" s="12">
        <f>C13*D13</f>
        <v>711.66666666666663</v>
      </c>
      <c r="H13" s="13"/>
      <c r="I13" t="s">
        <v>46</v>
      </c>
      <c r="K13" s="41">
        <f>-C13*D13^2</f>
        <v>-3617.6388888888887</v>
      </c>
    </row>
    <row r="14" spans="1:11" ht="27" customHeight="1" x14ac:dyDescent="0.3">
      <c r="A14" s="9">
        <v>9</v>
      </c>
      <c r="B14" s="39" t="s">
        <v>30</v>
      </c>
      <c r="C14" s="11">
        <v>45</v>
      </c>
      <c r="D14" s="11">
        <v>6</v>
      </c>
      <c r="E14" s="9" t="s">
        <v>14</v>
      </c>
      <c r="F14" s="11">
        <f>C14*D14</f>
        <v>270</v>
      </c>
      <c r="G14" s="12"/>
      <c r="H14" s="13"/>
      <c r="I14" s="30" t="s">
        <v>31</v>
      </c>
      <c r="K14" s="41">
        <f>C14*D14^2</f>
        <v>1620</v>
      </c>
    </row>
    <row r="15" spans="1:11" ht="22.2" customHeight="1" x14ac:dyDescent="0.3">
      <c r="A15" s="9">
        <v>10</v>
      </c>
      <c r="B15" s="39" t="s">
        <v>33</v>
      </c>
      <c r="C15" s="11">
        <v>50</v>
      </c>
      <c r="D15" s="11">
        <v>6</v>
      </c>
      <c r="E15" s="9" t="s">
        <v>14</v>
      </c>
      <c r="F15" s="11">
        <f>C15*D15</f>
        <v>300</v>
      </c>
      <c r="G15" s="12"/>
      <c r="H15" s="13"/>
      <c r="I15" t="s">
        <v>35</v>
      </c>
      <c r="K15" s="41">
        <f>-C15*D15^2</f>
        <v>-1800</v>
      </c>
    </row>
    <row r="16" spans="1:11" ht="27" customHeight="1" x14ac:dyDescent="0.3">
      <c r="A16" s="9">
        <v>12</v>
      </c>
      <c r="B16" s="39" t="s">
        <v>49</v>
      </c>
      <c r="C16" s="11">
        <v>100</v>
      </c>
      <c r="D16" s="11">
        <v>3</v>
      </c>
      <c r="E16" s="9" t="s">
        <v>14</v>
      </c>
      <c r="F16" s="11">
        <f t="shared" ref="F16" si="0">C16*D16</f>
        <v>300</v>
      </c>
      <c r="G16" s="12"/>
      <c r="H16" s="13"/>
      <c r="I16" s="30" t="s">
        <v>47</v>
      </c>
      <c r="K16" s="41">
        <f>C16*D16^2</f>
        <v>900</v>
      </c>
    </row>
    <row r="17" spans="1:12" ht="22.2" customHeight="1" thickBot="1" x14ac:dyDescent="0.35">
      <c r="A17" s="9"/>
      <c r="B17" s="10"/>
      <c r="C17" s="11"/>
      <c r="D17" s="11"/>
      <c r="E17" s="10"/>
      <c r="F17" s="11"/>
      <c r="G17" s="12"/>
      <c r="H17" s="13"/>
      <c r="I17" s="31"/>
    </row>
    <row r="18" spans="1:12" ht="64.8" customHeight="1" x14ac:dyDescent="0.3">
      <c r="A18" s="9"/>
      <c r="B18" s="38"/>
      <c r="C18" s="11"/>
      <c r="D18" s="11"/>
      <c r="F18" s="11"/>
      <c r="G18" s="12"/>
      <c r="H18" s="32"/>
      <c r="I18" s="37" t="s">
        <v>41</v>
      </c>
      <c r="J18" s="42" t="s">
        <v>40</v>
      </c>
      <c r="K18" s="42" t="s">
        <v>43</v>
      </c>
      <c r="L18" s="46" t="s">
        <v>44</v>
      </c>
    </row>
    <row r="19" spans="1:12" ht="22.2" customHeight="1" x14ac:dyDescent="0.3">
      <c r="A19" s="9" t="s">
        <v>36</v>
      </c>
      <c r="B19" s="15" t="s">
        <v>22</v>
      </c>
      <c r="C19" s="16">
        <v>350</v>
      </c>
      <c r="D19" s="16">
        <v>4.8</v>
      </c>
      <c r="E19" s="14" t="s">
        <v>14</v>
      </c>
      <c r="F19" s="16">
        <f>C19*D19</f>
        <v>1680</v>
      </c>
      <c r="G19" s="17"/>
      <c r="H19" s="33">
        <f>SUM(F5:F19)-SUM(G5:G19)</f>
        <v>6302.5749999999989</v>
      </c>
      <c r="I19" s="29">
        <f>H19/4.5</f>
        <v>1400.5722222222221</v>
      </c>
      <c r="J19" s="43">
        <f>-$C$5-$C$6-$C$7+$C$9+$C$10-$C$11+$C$12-$C$13+$C$14+$C$15+$C$16+C19+I19</f>
        <v>2172.9722222222222</v>
      </c>
      <c r="K19" s="44">
        <f>SUM(K5:K16)+(C19*D19^2)+(I19*4.5^2)</f>
        <v>104296.82559027776</v>
      </c>
    </row>
    <row r="20" spans="1:12" ht="22.2" customHeight="1" x14ac:dyDescent="0.3">
      <c r="A20" s="9" t="s">
        <v>37</v>
      </c>
      <c r="B20" s="19" t="s">
        <v>20</v>
      </c>
      <c r="C20" s="20">
        <v>350</v>
      </c>
      <c r="D20" s="20">
        <f>-20/12</f>
        <v>-1.6666666666666667</v>
      </c>
      <c r="E20" s="18" t="s">
        <v>14</v>
      </c>
      <c r="F20" s="20"/>
      <c r="G20" s="21">
        <f>ABS(C20*D20)</f>
        <v>583.33333333333337</v>
      </c>
      <c r="H20" s="34">
        <f>SUM(F5:F20)-SUM(G5:G20)</f>
        <v>5719.2416666666659</v>
      </c>
      <c r="I20" s="29">
        <f t="shared" ref="I20:I22" si="1">H20/4.5</f>
        <v>1270.9425925925925</v>
      </c>
      <c r="J20" s="43">
        <f>-$C$5-$C$6-$C$7+$C$9+$C$10-$C$11+$C$12-$C$13+$C$14+$C$15+$C$16+C20+I20</f>
        <v>2043.3425925925926</v>
      </c>
      <c r="K20" s="44">
        <f>SUM(K5:K16)+(C20*D20^2)+(I20*4.5^2)</f>
        <v>94580.047812499979</v>
      </c>
    </row>
    <row r="21" spans="1:12" ht="24" customHeight="1" x14ac:dyDescent="0.3">
      <c r="A21" s="9" t="s">
        <v>38</v>
      </c>
      <c r="B21" s="23" t="s">
        <v>21</v>
      </c>
      <c r="C21" s="24">
        <v>350</v>
      </c>
      <c r="D21" s="23">
        <f>-54/12</f>
        <v>-4.5</v>
      </c>
      <c r="E21" s="22" t="s">
        <v>14</v>
      </c>
      <c r="F21" s="23"/>
      <c r="G21" s="25">
        <f>ABS(C21*D21)</f>
        <v>1575</v>
      </c>
      <c r="H21" s="35">
        <f>SUM(F5:F21)-SUM(G5:G21)</f>
        <v>4144.2416666666659</v>
      </c>
      <c r="I21" s="29">
        <f t="shared" si="1"/>
        <v>920.9425925925924</v>
      </c>
      <c r="J21" s="43">
        <f>-$C$5-$C$6-$C$7+$C$9+$C$10-$C$11+$C$12-$C$13+$C$14+$C$15+$C$16+C21+I21</f>
        <v>1693.3425925925924</v>
      </c>
      <c r="K21" s="44">
        <f>SUM(K5:K16)+(C21*D21^2)+(I21*4.5^2)</f>
        <v>93607.82559027776</v>
      </c>
    </row>
    <row r="22" spans="1:12" ht="27" customHeight="1" x14ac:dyDescent="0.3">
      <c r="A22" s="9" t="s">
        <v>42</v>
      </c>
      <c r="B22" s="27" t="s">
        <v>25</v>
      </c>
      <c r="C22" s="28">
        <v>700</v>
      </c>
      <c r="D22" s="27">
        <v>-0.28000000000000003</v>
      </c>
      <c r="E22" s="26" t="s">
        <v>10</v>
      </c>
      <c r="F22" s="27">
        <f>ABS(C22*D22)</f>
        <v>196.00000000000003</v>
      </c>
      <c r="G22" s="27"/>
      <c r="H22" s="36">
        <f>SUM(F5:F22)-SUM(G5:G22)</f>
        <v>4340.2416666666659</v>
      </c>
      <c r="I22" s="29">
        <f t="shared" si="1"/>
        <v>964.49814814814795</v>
      </c>
      <c r="J22" s="43">
        <f>-$C$5-$C$6-$C$7+$C$9+$C$10-$C$11+$C$12-$C$13+$C$14+$C$15+$C$16-C22+I22</f>
        <v>686.89814814814792</v>
      </c>
      <c r="K22" s="44">
        <f>SUM(K5:K16)+(C21*D21^2)+(I21*4.5^2)-(C22*D22^2)</f>
        <v>93552.945590277755</v>
      </c>
    </row>
    <row r="24" spans="1:12" ht="62.4" customHeight="1" x14ac:dyDescent="0.3">
      <c r="B24" s="5" t="s">
        <v>15</v>
      </c>
      <c r="C24" s="5"/>
    </row>
    <row r="26" spans="1:12" ht="15.6" x14ac:dyDescent="0.3">
      <c r="B26" s="3" t="s">
        <v>7</v>
      </c>
      <c r="K26" s="45"/>
    </row>
    <row r="27" spans="1:12" s="2" customFormat="1" ht="49.8" customHeight="1" x14ac:dyDescent="0.3">
      <c r="A27" s="4" t="s">
        <v>6</v>
      </c>
      <c r="B27" s="282" t="s">
        <v>45</v>
      </c>
      <c r="C27" s="282"/>
      <c r="D27" s="282"/>
      <c r="E27" s="282"/>
      <c r="F27" s="282"/>
      <c r="G27" s="282"/>
    </row>
    <row r="28" spans="1:12" s="2" customFormat="1" ht="36" customHeight="1" x14ac:dyDescent="0.3">
      <c r="A28" s="4" t="s">
        <v>8</v>
      </c>
      <c r="B28" s="282" t="s">
        <v>26</v>
      </c>
      <c r="C28" s="282"/>
      <c r="D28" s="282"/>
      <c r="E28" s="282"/>
      <c r="F28" s="282"/>
      <c r="G28" s="282"/>
    </row>
    <row r="29" spans="1:12" s="2" customFormat="1" ht="36" customHeight="1" x14ac:dyDescent="0.3">
      <c r="A29" s="4" t="s">
        <v>12</v>
      </c>
      <c r="B29" s="282" t="s">
        <v>13</v>
      </c>
      <c r="C29" s="282"/>
      <c r="D29" s="282"/>
      <c r="E29" s="282"/>
      <c r="F29" s="282"/>
      <c r="G29" s="282"/>
    </row>
    <row r="30" spans="1:12" s="2" customFormat="1" ht="36" customHeight="1" x14ac:dyDescent="0.3">
      <c r="A30" s="4" t="s">
        <v>28</v>
      </c>
      <c r="B30" s="282" t="s">
        <v>29</v>
      </c>
      <c r="C30" s="282"/>
      <c r="D30" s="282"/>
      <c r="E30" s="282"/>
      <c r="F30" s="282"/>
      <c r="G30" s="282"/>
    </row>
  </sheetData>
  <mergeCells count="11">
    <mergeCell ref="A3:A4"/>
    <mergeCell ref="H3:H4"/>
    <mergeCell ref="B30:G30"/>
    <mergeCell ref="B27:G27"/>
    <mergeCell ref="B28:G28"/>
    <mergeCell ref="F3:G3"/>
    <mergeCell ref="B29:G29"/>
    <mergeCell ref="B3:B4"/>
    <mergeCell ref="C3:C4"/>
    <mergeCell ref="D3:D4"/>
    <mergeCell ref="E3:E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ZTF-Full System</vt:lpstr>
      <vt:lpstr>Aug-16 Shutter install</vt:lpstr>
      <vt:lpstr>MoI</vt:lpstr>
      <vt:lpstr>primary weights </vt:lpstr>
      <vt:lpstr>corrector tube weights</vt:lpstr>
      <vt:lpstr>ZTF-Original Plan</vt:lpstr>
      <vt:lpstr>'Aug-16 Shutter install'!Print_Area</vt:lpstr>
      <vt:lpstr>MoI!Print_Area</vt:lpstr>
      <vt:lpstr>'ZTF-Full System'!Print_Area</vt:lpstr>
      <vt:lpstr>'ZTF-Original Plan'!Print_Area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Zolkower</dc:creator>
  <cp:lastModifiedBy>Jeff Zolkower</cp:lastModifiedBy>
  <cp:lastPrinted>2016-08-31T13:36:04Z</cp:lastPrinted>
  <dcterms:created xsi:type="dcterms:W3CDTF">2015-08-14T13:31:43Z</dcterms:created>
  <dcterms:modified xsi:type="dcterms:W3CDTF">2017-01-11T03:03:09Z</dcterms:modified>
</cp:coreProperties>
</file>