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f Zolkower\Documents\My Documents\PALOMAR\ZTF\Telescope Drive\"/>
    </mc:Choice>
  </mc:AlternateContent>
  <bookViews>
    <workbookView xWindow="0" yWindow="0" windowWidth="23040" windowHeight="9408"/>
  </bookViews>
  <sheets>
    <sheet name="Sheet1" sheetId="1" r:id="rId1"/>
  </sheets>
  <definedNames>
    <definedName name="_xlnm.Print_Area" localSheetId="0">Sheet1!$A$3:$O$28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F14" i="1"/>
  <c r="F15" i="1"/>
  <c r="D7" i="1"/>
  <c r="F7" i="1"/>
  <c r="D8" i="1"/>
  <c r="F8" i="1"/>
  <c r="C9" i="1"/>
  <c r="D9" i="1"/>
  <c r="F9" i="1"/>
  <c r="D11" i="1"/>
  <c r="F11" i="1"/>
  <c r="F13" i="1"/>
  <c r="F16" i="1"/>
  <c r="F19" i="1"/>
  <c r="D5" i="1"/>
  <c r="G5" i="1"/>
  <c r="D6" i="1"/>
  <c r="G6" i="1"/>
  <c r="D10" i="1"/>
  <c r="G10" i="1"/>
  <c r="D12" i="1"/>
  <c r="G12" i="1"/>
  <c r="D20" i="1"/>
  <c r="G20" i="1"/>
  <c r="D21" i="1"/>
  <c r="G21" i="1"/>
  <c r="H21" i="1"/>
  <c r="I21" i="1"/>
  <c r="K15" i="1"/>
  <c r="K5" i="1"/>
  <c r="K6" i="1"/>
  <c r="K7" i="1"/>
  <c r="K8" i="1"/>
  <c r="K9" i="1"/>
  <c r="K10" i="1"/>
  <c r="K11" i="1"/>
  <c r="K12" i="1"/>
  <c r="K13" i="1"/>
  <c r="K16" i="1"/>
  <c r="K22" i="1"/>
  <c r="K21" i="1"/>
  <c r="H20" i="1"/>
  <c r="I20" i="1"/>
  <c r="K20" i="1"/>
  <c r="H19" i="1"/>
  <c r="I19" i="1"/>
  <c r="K19" i="1"/>
  <c r="J22" i="1"/>
  <c r="J21" i="1"/>
  <c r="J20" i="1"/>
  <c r="J19" i="1"/>
  <c r="F22" i="1"/>
  <c r="H22" i="1"/>
  <c r="I22" i="1"/>
</calcChain>
</file>

<file path=xl/sharedStrings.xml><?xml version="1.0" encoding="utf-8"?>
<sst xmlns="http://schemas.openxmlformats.org/spreadsheetml/2006/main" count="67" uniqueCount="54">
  <si>
    <t>Item</t>
  </si>
  <si>
    <t>Decription</t>
  </si>
  <si>
    <t>Weight 
(lbs)</t>
  </si>
  <si>
    <t>+ UP</t>
  </si>
  <si>
    <t>- DOWN</t>
  </si>
  <si>
    <t>Component 
Moment change
(ft-lb)</t>
  </si>
  <si>
    <t>A)</t>
  </si>
  <si>
    <t>Assumptions</t>
  </si>
  <si>
    <t>B)</t>
  </si>
  <si>
    <t>Ballast around corrector mount</t>
  </si>
  <si>
    <t>Remove</t>
  </si>
  <si>
    <t>Corrector 3rd element &amp; cell</t>
  </si>
  <si>
    <t>C)</t>
  </si>
  <si>
    <t>Corrector doublet location same as PTF &amp; trim plate according to current CAD model.  This will likely change by a 1 or 2 inches. (~ 150 ft-lbs)</t>
  </si>
  <si>
    <t>Add</t>
  </si>
  <si>
    <t>Shutter adapter ring</t>
  </si>
  <si>
    <t>Shutter assembly</t>
  </si>
  <si>
    <t>red=estimated mass</t>
  </si>
  <si>
    <t>PTF camera, hud &amp; spiders</t>
  </si>
  <si>
    <t>ZTF camera, hub &amp; spiders</t>
  </si>
  <si>
    <t>PTF Electronics Rack</t>
  </si>
  <si>
    <t>Off balance moment
(ft-lb)</t>
  </si>
  <si>
    <t>ZTF Electronics Rack:  Mid-position</t>
  </si>
  <si>
    <t>ZTF Electronics Rack:  Rear-position</t>
  </si>
  <si>
    <t>ZTF Electronics Rack: Forward position</t>
  </si>
  <si>
    <t>Ballast at old clamshell mount</t>
  </si>
  <si>
    <t>Notes</t>
  </si>
  <si>
    <t>Remove Finder scopes &amp; Rear E-Rack</t>
  </si>
  <si>
    <t>Only main moment/mass contributors are included in this analysis.  Smaller components could contribute to ~ 10% error in this result.</t>
  </si>
  <si>
    <t>ZTF Preliminary Top-Down Balance Calculation</t>
  </si>
  <si>
    <t xml:space="preserve">D) </t>
  </si>
  <si>
    <t>Movable counterweight provides ~ 1000 ft-lb range.  Current position of movable counterweight with PTF installation in near maximum lower position (near primary).</t>
  </si>
  <si>
    <t>CCD controlers</t>
  </si>
  <si>
    <t>guess?
15 lbs ea with mt brkt</t>
  </si>
  <si>
    <t>CG dist
 from Dec axis
(feet)</t>
  </si>
  <si>
    <t>Cables, hoses, air handling</t>
  </si>
  <si>
    <t>Component
Add/
Remove</t>
  </si>
  <si>
    <t>Top end baffle</t>
  </si>
  <si>
    <t xml:space="preserve">guess? </t>
  </si>
  <si>
    <t>assume same moment as current baffle</t>
  </si>
  <si>
    <t>rem/add</t>
  </si>
  <si>
    <t>Filter Exchnager</t>
  </si>
  <si>
    <t>guess?
30 lbs each exchanger with filter</t>
  </si>
  <si>
    <t>13a</t>
  </si>
  <si>
    <t>13b</t>
  </si>
  <si>
    <t>13c</t>
  </si>
  <si>
    <t>updated with supplier info</t>
  </si>
  <si>
    <t>Effect on 
Moment of inertia (lbs-ft^2)</t>
  </si>
  <si>
    <t xml:space="preserve">Increased mass
(lbs) 
ZTF vs PTF </t>
  </si>
  <si>
    <t>Req'd counterweight near primary
(lbs)</t>
  </si>
  <si>
    <t>13c-1</t>
  </si>
  <si>
    <r>
      <t>Increased   
moment of inertia
(lbs-ft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 
ZTF vs PTF</t>
    </r>
  </si>
  <si>
    <t xml:space="preserve">est of telescope tube MOI
w/o instr.   
385K lb-ft^2
</t>
  </si>
  <si>
    <t xml:space="preserve">Current PTF balanced telescope is baseline.  Information above shows changes relative to PTF installation.  
Calculations do not include North-South balance, which may require additional counterweights.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</si>
</sst>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 vertical="top"/>
    </xf>
    <xf numFmtId="0" fontId="5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0" fontId="1" fillId="0" borderId="4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4" fontId="1" fillId="4" borderId="2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4" fontId="4" fillId="3" borderId="4" xfId="0" applyNumberFormat="1" applyFont="1" applyFill="1" applyBorder="1"/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7" xfId="0" applyFont="1" applyBorder="1"/>
    <xf numFmtId="164" fontId="4" fillId="3" borderId="7" xfId="0" applyNumberFormat="1" applyFont="1" applyFill="1" applyBorder="1"/>
    <xf numFmtId="164" fontId="4" fillId="4" borderId="7" xfId="0" applyNumberFormat="1" applyFont="1" applyFill="1" applyBorder="1"/>
    <xf numFmtId="164" fontId="4" fillId="2" borderId="8" xfId="0" applyNumberFormat="1" applyFont="1" applyFill="1" applyBorder="1"/>
    <xf numFmtId="164" fontId="4" fillId="2" borderId="2" xfId="0" applyNumberFormat="1" applyFont="1" applyFill="1" applyBorder="1"/>
    <xf numFmtId="0" fontId="9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7" fillId="0" borderId="1" xfId="0" applyFont="1" applyBorder="1"/>
    <xf numFmtId="164" fontId="10" fillId="0" borderId="1" xfId="0" applyNumberFormat="1" applyFont="1" applyBorder="1"/>
    <xf numFmtId="1" fontId="0" fillId="0" borderId="0" xfId="0" applyNumberFormat="1"/>
    <xf numFmtId="0" fontId="4" fillId="5" borderId="1" xfId="0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30</xdr:row>
      <xdr:rowOff>60960</xdr:rowOff>
    </xdr:from>
    <xdr:to>
      <xdr:col>3</xdr:col>
      <xdr:colOff>259079</xdr:colOff>
      <xdr:row>43</xdr:row>
      <xdr:rowOff>99060</xdr:rowOff>
    </xdr:to>
    <xdr:grpSp>
      <xdr:nvGrpSpPr>
        <xdr:cNvPr id="24" name="Group 23"/>
        <xdr:cNvGrpSpPr/>
      </xdr:nvGrpSpPr>
      <xdr:grpSpPr>
        <a:xfrm>
          <a:off x="114299" y="10789920"/>
          <a:ext cx="3939540" cy="2415540"/>
          <a:chOff x="7691238" y="617220"/>
          <a:chExt cx="3789446" cy="2476500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6244" y="800100"/>
            <a:ext cx="3414440" cy="22936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sp macro="" textlink="">
        <xdr:nvSpPr>
          <xdr:cNvPr id="20" name="Circular Arrow 19"/>
          <xdr:cNvSpPr/>
        </xdr:nvSpPr>
        <xdr:spPr>
          <a:xfrm>
            <a:off x="8138160" y="617220"/>
            <a:ext cx="2171700" cy="1638300"/>
          </a:xfrm>
          <a:prstGeom prst="circularArrow">
            <a:avLst>
              <a:gd name="adj1" fmla="val 4470"/>
              <a:gd name="adj2" fmla="val 585415"/>
              <a:gd name="adj3" fmla="val 20560801"/>
              <a:gd name="adj4" fmla="val 10800000"/>
              <a:gd name="adj5" fmla="val 8839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10180320" y="746760"/>
            <a:ext cx="481991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+UP</a:t>
            </a:r>
          </a:p>
        </xdr:txBody>
      </xdr:sp>
      <xdr:sp macro="" textlink="">
        <xdr:nvSpPr>
          <xdr:cNvPr id="22" name="TextBox 21"/>
          <xdr:cNvSpPr txBox="1"/>
        </xdr:nvSpPr>
        <xdr:spPr>
          <a:xfrm>
            <a:off x="7691238" y="1684790"/>
            <a:ext cx="779059" cy="311496"/>
          </a:xfrm>
          <a:prstGeom prst="rect">
            <a:avLst/>
          </a:prstGeom>
          <a:solidFill>
            <a:srgbClr val="FFFF00"/>
          </a:solidFill>
          <a:ln>
            <a:solidFill>
              <a:schemeClr val="accen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/>
              <a:t>−DOWN</a:t>
            </a:r>
          </a:p>
        </xdr:txBody>
      </xdr:sp>
      <xdr:sp macro="" textlink="">
        <xdr:nvSpPr>
          <xdr:cNvPr id="23" name="Circular Arrow 22"/>
          <xdr:cNvSpPr/>
        </xdr:nvSpPr>
        <xdr:spPr>
          <a:xfrm rot="20828041" flipH="1">
            <a:off x="8138160" y="670561"/>
            <a:ext cx="1531620" cy="1531620"/>
          </a:xfrm>
          <a:prstGeom prst="circularArrow">
            <a:avLst>
              <a:gd name="adj1" fmla="val 4600"/>
              <a:gd name="adj2" fmla="val 1009753"/>
              <a:gd name="adj3" fmla="val 20501125"/>
              <a:gd name="adj4" fmla="val 19146052"/>
              <a:gd name="adj5" fmla="val 9760"/>
            </a:avLst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oneCellAnchor>
    <xdr:from>
      <xdr:col>0</xdr:col>
      <xdr:colOff>533400</xdr:colOff>
      <xdr:row>41</xdr:row>
      <xdr:rowOff>53340</xdr:rowOff>
    </xdr:from>
    <xdr:ext cx="1804468" cy="311496"/>
    <xdr:sp macro="" textlink="">
      <xdr:nvSpPr>
        <xdr:cNvPr id="25" name="TextBox 24"/>
        <xdr:cNvSpPr txBox="1"/>
      </xdr:nvSpPr>
      <xdr:spPr>
        <a:xfrm>
          <a:off x="533400" y="8999220"/>
          <a:ext cx="1804468" cy="3114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Upper</a:t>
          </a:r>
          <a:r>
            <a:rPr lang="en-US" sz="1400"/>
            <a:t> E-Rack position</a:t>
          </a:r>
        </a:p>
      </xdr:txBody>
    </xdr:sp>
    <xdr:clientData/>
  </xdr:oneCellAnchor>
  <xdr:twoCellAnchor editAs="oneCell">
    <xdr:from>
      <xdr:col>3</xdr:col>
      <xdr:colOff>327660</xdr:colOff>
      <xdr:row>30</xdr:row>
      <xdr:rowOff>106680</xdr:rowOff>
    </xdr:from>
    <xdr:to>
      <xdr:col>6</xdr:col>
      <xdr:colOff>760001</xdr:colOff>
      <xdr:row>43</xdr:row>
      <xdr:rowOff>14543</xdr:rowOff>
    </xdr:to>
    <xdr:pic>
      <xdr:nvPicPr>
        <xdr:cNvPr id="27" name="Content Placeholder 3" descr="Screen Clipping"/>
        <xdr:cNvPicPr>
          <a:picLocks noGrp="1"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7040880"/>
          <a:ext cx="3244121" cy="2285303"/>
        </a:xfrm>
        <a:prstGeom prst="rect">
          <a:avLst/>
        </a:prstGeom>
      </xdr:spPr>
    </xdr:pic>
    <xdr:clientData/>
  </xdr:twoCellAnchor>
  <xdr:twoCellAnchor editAs="oneCell">
    <xdr:from>
      <xdr:col>6</xdr:col>
      <xdr:colOff>769620</xdr:colOff>
      <xdr:row>30</xdr:row>
      <xdr:rowOff>74322</xdr:rowOff>
    </xdr:from>
    <xdr:to>
      <xdr:col>10</xdr:col>
      <xdr:colOff>289560</xdr:colOff>
      <xdr:row>42</xdr:row>
      <xdr:rowOff>119063</xdr:rowOff>
    </xdr:to>
    <xdr:pic>
      <xdr:nvPicPr>
        <xdr:cNvPr id="28" name="Picture 27" descr="Screen Clippi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940" y="7473342"/>
          <a:ext cx="3566160" cy="2239301"/>
        </a:xfrm>
        <a:prstGeom prst="rect">
          <a:avLst/>
        </a:prstGeom>
      </xdr:spPr>
    </xdr:pic>
    <xdr:clientData/>
  </xdr:twoCellAnchor>
  <xdr:oneCellAnchor>
    <xdr:from>
      <xdr:col>3</xdr:col>
      <xdr:colOff>304800</xdr:colOff>
      <xdr:row>41</xdr:row>
      <xdr:rowOff>0</xdr:rowOff>
    </xdr:from>
    <xdr:ext cx="1868588" cy="311496"/>
    <xdr:sp macro="" textlink="">
      <xdr:nvSpPr>
        <xdr:cNvPr id="29" name="TextBox 28"/>
        <xdr:cNvSpPr txBox="1"/>
      </xdr:nvSpPr>
      <xdr:spPr>
        <a:xfrm>
          <a:off x="3863340" y="8945880"/>
          <a:ext cx="1868588" cy="31149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Middle</a:t>
          </a:r>
          <a:r>
            <a:rPr lang="en-US" sz="1400"/>
            <a:t> E-Rack position</a:t>
          </a:r>
        </a:p>
      </xdr:txBody>
    </xdr:sp>
    <xdr:clientData/>
  </xdr:oneCellAnchor>
  <xdr:oneCellAnchor>
    <xdr:from>
      <xdr:col>7</xdr:col>
      <xdr:colOff>30480</xdr:colOff>
      <xdr:row>40</xdr:row>
      <xdr:rowOff>160020</xdr:rowOff>
    </xdr:from>
    <xdr:ext cx="1800686" cy="311496"/>
    <xdr:sp macro="" textlink="">
      <xdr:nvSpPr>
        <xdr:cNvPr id="30" name="TextBox 29"/>
        <xdr:cNvSpPr txBox="1"/>
      </xdr:nvSpPr>
      <xdr:spPr>
        <a:xfrm>
          <a:off x="7178040" y="8923020"/>
          <a:ext cx="1800686" cy="31149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Lower</a:t>
          </a:r>
          <a:r>
            <a:rPr lang="en-US" sz="1400"/>
            <a:t> E-Rack position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B1" zoomScaleNormal="100" zoomScaleSheetLayoutView="100" workbookViewId="0">
      <selection activeCell="B27" sqref="B27:G27"/>
    </sheetView>
  </sheetViews>
  <sheetFormatPr defaultRowHeight="14.4" x14ac:dyDescent="0.3"/>
  <cols>
    <col min="1" max="1" width="8.5546875" customWidth="1"/>
    <col min="2" max="2" width="36.5546875" customWidth="1"/>
    <col min="3" max="3" width="10.21875" customWidth="1"/>
    <col min="4" max="4" width="13.77734375" customWidth="1"/>
    <col min="5" max="5" width="13.109375" customWidth="1"/>
    <col min="6" max="6" width="14.109375" customWidth="1"/>
    <col min="7" max="7" width="11.33203125" customWidth="1"/>
    <col min="8" max="8" width="14.21875" customWidth="1"/>
    <col min="9" max="9" width="15.44140625" customWidth="1"/>
    <col min="10" max="10" width="18" customWidth="1"/>
    <col min="11" max="11" width="19.33203125" customWidth="1"/>
    <col min="12" max="12" width="16.21875" customWidth="1"/>
  </cols>
  <sheetData>
    <row r="1" spans="1:11" ht="23.4" x14ac:dyDescent="0.45">
      <c r="B1" s="8" t="s">
        <v>29</v>
      </c>
    </row>
    <row r="2" spans="1:11" ht="21" customHeight="1" thickBot="1" x14ac:dyDescent="0.35"/>
    <row r="3" spans="1:11" ht="54" customHeight="1" x14ac:dyDescent="0.35">
      <c r="A3" s="30" t="s">
        <v>0</v>
      </c>
      <c r="B3" s="30" t="s">
        <v>1</v>
      </c>
      <c r="C3" s="34" t="s">
        <v>2</v>
      </c>
      <c r="D3" s="34" t="s">
        <v>34</v>
      </c>
      <c r="E3" s="36" t="s">
        <v>36</v>
      </c>
      <c r="F3" s="34" t="s">
        <v>5</v>
      </c>
      <c r="G3" s="35"/>
      <c r="H3" s="31" t="s">
        <v>21</v>
      </c>
      <c r="I3" s="1" t="s">
        <v>26</v>
      </c>
      <c r="K3" s="37" t="s">
        <v>47</v>
      </c>
    </row>
    <row r="4" spans="1:11" ht="23.4" customHeight="1" x14ac:dyDescent="0.35">
      <c r="A4" s="30"/>
      <c r="B4" s="30"/>
      <c r="C4" s="34"/>
      <c r="D4" s="34"/>
      <c r="E4" s="36"/>
      <c r="F4" s="6" t="s">
        <v>3</v>
      </c>
      <c r="G4" s="7" t="s">
        <v>4</v>
      </c>
      <c r="H4" s="32"/>
    </row>
    <row r="5" spans="1:11" ht="22.2" customHeight="1" x14ac:dyDescent="0.3">
      <c r="A5" s="9">
        <v>1</v>
      </c>
      <c r="B5" s="10" t="s">
        <v>9</v>
      </c>
      <c r="C5" s="11">
        <v>213</v>
      </c>
      <c r="D5" s="11">
        <f>166/12</f>
        <v>13.833333333333334</v>
      </c>
      <c r="E5" s="9" t="s">
        <v>10</v>
      </c>
      <c r="F5" s="11"/>
      <c r="G5" s="12">
        <f>C5*D5</f>
        <v>2946.5</v>
      </c>
      <c r="H5" s="13"/>
      <c r="K5" s="48">
        <f>-C5*D5^2</f>
        <v>-40759.916666666664</v>
      </c>
    </row>
    <row r="6" spans="1:11" ht="22.2" customHeight="1" x14ac:dyDescent="0.3">
      <c r="A6" s="9">
        <v>2</v>
      </c>
      <c r="B6" s="10" t="s">
        <v>25</v>
      </c>
      <c r="C6" s="11">
        <v>52.6</v>
      </c>
      <c r="D6" s="11">
        <f>145/12</f>
        <v>12.083333333333334</v>
      </c>
      <c r="E6" s="9" t="s">
        <v>10</v>
      </c>
      <c r="F6" s="11"/>
      <c r="G6" s="12">
        <f>C6*D6</f>
        <v>635.58333333333337</v>
      </c>
      <c r="H6" s="13"/>
      <c r="K6" s="48">
        <f>-C6*D6^2</f>
        <v>-7679.9652777777783</v>
      </c>
    </row>
    <row r="7" spans="1:11" ht="22.2" customHeight="1" x14ac:dyDescent="0.3">
      <c r="A7" s="9">
        <v>3</v>
      </c>
      <c r="B7" s="10" t="s">
        <v>11</v>
      </c>
      <c r="C7" s="11">
        <v>242</v>
      </c>
      <c r="D7" s="11">
        <f>169.25/12</f>
        <v>14.104166666666666</v>
      </c>
      <c r="E7" s="9" t="s">
        <v>14</v>
      </c>
      <c r="F7" s="11">
        <f>C7*D7</f>
        <v>3413.208333333333</v>
      </c>
      <c r="G7" s="12"/>
      <c r="H7" s="13"/>
      <c r="K7" s="48">
        <f>C7*D7^2</f>
        <v>48140.459201388883</v>
      </c>
    </row>
    <row r="8" spans="1:11" ht="22.2" customHeight="1" x14ac:dyDescent="0.3">
      <c r="A8" s="9">
        <v>4</v>
      </c>
      <c r="B8" s="10" t="s">
        <v>15</v>
      </c>
      <c r="C8" s="11">
        <v>63</v>
      </c>
      <c r="D8" s="11">
        <f>173/12</f>
        <v>14.416666666666666</v>
      </c>
      <c r="E8" s="9" t="s">
        <v>14</v>
      </c>
      <c r="F8" s="11">
        <f>C8*D8</f>
        <v>908.25</v>
      </c>
      <c r="G8" s="12"/>
      <c r="H8" s="13"/>
      <c r="K8" s="48">
        <f>C8*D8^2</f>
        <v>13093.9375</v>
      </c>
    </row>
    <row r="9" spans="1:11" ht="22.2" customHeight="1" x14ac:dyDescent="0.3">
      <c r="A9" s="9">
        <v>5</v>
      </c>
      <c r="B9" s="10" t="s">
        <v>16</v>
      </c>
      <c r="C9" s="47">
        <f>85*2.2</f>
        <v>187.00000000000003</v>
      </c>
      <c r="D9" s="11">
        <f>178/12</f>
        <v>14.833333333333334</v>
      </c>
      <c r="E9" s="9" t="s">
        <v>14</v>
      </c>
      <c r="F9" s="11">
        <f>C9*D9</f>
        <v>2773.8333333333339</v>
      </c>
      <c r="G9" s="12"/>
      <c r="H9" s="13"/>
      <c r="I9" t="s">
        <v>46</v>
      </c>
      <c r="K9" s="48">
        <f>C9*D9^2</f>
        <v>41145.194444444453</v>
      </c>
    </row>
    <row r="10" spans="1:11" ht="22.2" customHeight="1" x14ac:dyDescent="0.3">
      <c r="A10" s="9">
        <v>6</v>
      </c>
      <c r="B10" s="10" t="s">
        <v>18</v>
      </c>
      <c r="C10" s="11">
        <v>339</v>
      </c>
      <c r="D10" s="11">
        <f>58/12</f>
        <v>4.833333333333333</v>
      </c>
      <c r="E10" s="9" t="s">
        <v>10</v>
      </c>
      <c r="F10" s="11"/>
      <c r="G10" s="12">
        <f>C10*D10</f>
        <v>1638.5</v>
      </c>
      <c r="H10" s="13"/>
      <c r="K10" s="48">
        <f>-C10*D10^2</f>
        <v>-7919.4166666666652</v>
      </c>
    </row>
    <row r="11" spans="1:11" ht="22.2" customHeight="1" x14ac:dyDescent="0.3">
      <c r="A11" s="9">
        <v>7</v>
      </c>
      <c r="B11" s="10" t="s">
        <v>19</v>
      </c>
      <c r="C11" s="11">
        <v>422.4</v>
      </c>
      <c r="D11" s="11">
        <f>58/12</f>
        <v>4.833333333333333</v>
      </c>
      <c r="E11" s="9" t="s">
        <v>14</v>
      </c>
      <c r="F11" s="11">
        <f>C11*D11</f>
        <v>2041.5999999999997</v>
      </c>
      <c r="G11" s="12"/>
      <c r="H11" s="13"/>
      <c r="K11" s="48">
        <f>C11*D11^2</f>
        <v>9867.7333333333318</v>
      </c>
    </row>
    <row r="12" spans="1:11" ht="22.2" customHeight="1" x14ac:dyDescent="0.3">
      <c r="A12" s="9">
        <v>8</v>
      </c>
      <c r="B12" s="10" t="s">
        <v>20</v>
      </c>
      <c r="C12" s="11">
        <v>210</v>
      </c>
      <c r="D12" s="11">
        <f>61/12</f>
        <v>5.083333333333333</v>
      </c>
      <c r="E12" s="9" t="s">
        <v>10</v>
      </c>
      <c r="F12" s="11"/>
      <c r="G12" s="12">
        <f>C12*D12</f>
        <v>1067.5</v>
      </c>
      <c r="H12" s="13"/>
      <c r="K12" s="48">
        <f>-C12*D12^2</f>
        <v>-5426.458333333333</v>
      </c>
    </row>
    <row r="13" spans="1:11" ht="27" customHeight="1" x14ac:dyDescent="0.3">
      <c r="A13" s="9">
        <v>9</v>
      </c>
      <c r="B13" s="46" t="s">
        <v>32</v>
      </c>
      <c r="C13" s="11">
        <v>45</v>
      </c>
      <c r="D13" s="11">
        <v>6</v>
      </c>
      <c r="E13" s="9" t="s">
        <v>14</v>
      </c>
      <c r="F13" s="11">
        <f>C13*D13</f>
        <v>270</v>
      </c>
      <c r="G13" s="12"/>
      <c r="H13" s="13"/>
      <c r="I13" s="37" t="s">
        <v>33</v>
      </c>
      <c r="K13" s="48">
        <f>C13*D13^2</f>
        <v>1620</v>
      </c>
    </row>
    <row r="14" spans="1:11" ht="22.2" customHeight="1" x14ac:dyDescent="0.3">
      <c r="A14" s="9">
        <v>10</v>
      </c>
      <c r="B14" s="46" t="s">
        <v>35</v>
      </c>
      <c r="C14" s="11">
        <v>50</v>
      </c>
      <c r="D14" s="11">
        <v>6</v>
      </c>
      <c r="E14" s="9" t="s">
        <v>14</v>
      </c>
      <c r="F14" s="11">
        <f>C14*D14</f>
        <v>300</v>
      </c>
      <c r="G14" s="12"/>
      <c r="H14" s="13"/>
      <c r="I14" t="s">
        <v>38</v>
      </c>
      <c r="K14" s="48">
        <f>-C14*D14^2</f>
        <v>-1800</v>
      </c>
    </row>
    <row r="15" spans="1:11" ht="22.2" customHeight="1" x14ac:dyDescent="0.3">
      <c r="A15" s="9">
        <v>11</v>
      </c>
      <c r="B15" s="46" t="s">
        <v>37</v>
      </c>
      <c r="C15" s="11">
        <v>0</v>
      </c>
      <c r="D15" s="11">
        <v>0</v>
      </c>
      <c r="E15" s="9" t="s">
        <v>40</v>
      </c>
      <c r="F15" s="11">
        <f t="shared" ref="F15:F16" si="0">C15*D15</f>
        <v>0</v>
      </c>
      <c r="G15" s="12"/>
      <c r="H15" s="13"/>
      <c r="I15" t="s">
        <v>39</v>
      </c>
      <c r="K15" s="48">
        <f>-C15*D15^2</f>
        <v>0</v>
      </c>
    </row>
    <row r="16" spans="1:11" ht="27" customHeight="1" x14ac:dyDescent="0.3">
      <c r="A16" s="9">
        <v>12</v>
      </c>
      <c r="B16" s="46" t="s">
        <v>41</v>
      </c>
      <c r="C16" s="11">
        <v>90</v>
      </c>
      <c r="D16" s="11">
        <v>3</v>
      </c>
      <c r="E16" s="9" t="s">
        <v>14</v>
      </c>
      <c r="F16" s="11">
        <f t="shared" si="0"/>
        <v>270</v>
      </c>
      <c r="G16" s="12"/>
      <c r="H16" s="13"/>
      <c r="I16" s="37" t="s">
        <v>42</v>
      </c>
      <c r="K16" s="48">
        <f>C16*D16^2</f>
        <v>810</v>
      </c>
    </row>
    <row r="17" spans="1:12" ht="22.2" customHeight="1" thickBot="1" x14ac:dyDescent="0.35">
      <c r="A17" s="9"/>
      <c r="B17" s="10"/>
      <c r="C17" s="11"/>
      <c r="D17" s="11"/>
      <c r="E17" s="10"/>
      <c r="F17" s="11"/>
      <c r="G17" s="12"/>
      <c r="H17" s="13"/>
      <c r="I17" s="38"/>
    </row>
    <row r="18" spans="1:12" ht="64.8" customHeight="1" x14ac:dyDescent="0.3">
      <c r="A18" s="9"/>
      <c r="B18" s="45"/>
      <c r="C18" s="11"/>
      <c r="D18" s="11"/>
      <c r="F18" s="11"/>
      <c r="G18" s="12"/>
      <c r="H18" s="39"/>
      <c r="I18" s="44" t="s">
        <v>49</v>
      </c>
      <c r="J18" s="49" t="s">
        <v>48</v>
      </c>
      <c r="K18" s="49" t="s">
        <v>51</v>
      </c>
      <c r="L18" s="53" t="s">
        <v>52</v>
      </c>
    </row>
    <row r="19" spans="1:12" ht="22.2" customHeight="1" x14ac:dyDescent="0.3">
      <c r="A19" s="9" t="s">
        <v>43</v>
      </c>
      <c r="B19" s="15" t="s">
        <v>24</v>
      </c>
      <c r="C19" s="16">
        <v>350</v>
      </c>
      <c r="D19" s="16">
        <v>4.8</v>
      </c>
      <c r="E19" s="14" t="s">
        <v>14</v>
      </c>
      <c r="F19" s="16">
        <f>C19*D19</f>
        <v>1680</v>
      </c>
      <c r="G19" s="17"/>
      <c r="H19" s="40">
        <f>SUM(F5:F19)-SUM(G5:G19)</f>
        <v>5368.8083333333325</v>
      </c>
      <c r="I19" s="29">
        <f>H19/4.5</f>
        <v>1193.0685185185184</v>
      </c>
      <c r="J19" s="50">
        <f>-C5-C6+C7+C8+C9-C10+C11-C12+C13+C14+C15+C16++C19+I19</f>
        <v>1827.8685185185184</v>
      </c>
      <c r="K19" s="51">
        <f>SUM(K5:K16)+(C19*D19^2)+(I19*4.5^2)</f>
        <v>83315.205034722225</v>
      </c>
    </row>
    <row r="20" spans="1:12" ht="22.2" customHeight="1" x14ac:dyDescent="0.3">
      <c r="A20" s="9" t="s">
        <v>44</v>
      </c>
      <c r="B20" s="19" t="s">
        <v>22</v>
      </c>
      <c r="C20" s="20">
        <v>350</v>
      </c>
      <c r="D20" s="20">
        <f>-20/12</f>
        <v>-1.6666666666666667</v>
      </c>
      <c r="E20" s="18" t="s">
        <v>14</v>
      </c>
      <c r="F20" s="20"/>
      <c r="G20" s="21">
        <f>ABS(C20*D20)</f>
        <v>583.33333333333337</v>
      </c>
      <c r="H20" s="41">
        <f>SUM(F5:F20)-SUM(G5:G20)</f>
        <v>4785.4749999999995</v>
      </c>
      <c r="I20" s="29">
        <f t="shared" ref="I20:I22" si="1">H20/4.5</f>
        <v>1063.4388888888889</v>
      </c>
      <c r="J20" s="50">
        <f>-C5-C6+C7+C8+C9-C10+C11-C12+C13+C14+C15+C16++C19+I20</f>
        <v>1698.2388888888888</v>
      </c>
      <c r="K20" s="51">
        <f>SUM(K5:K16)+(C20*D20^2)+(I20*4.5^2)</f>
        <v>73598.427256944444</v>
      </c>
    </row>
    <row r="21" spans="1:12" ht="24" customHeight="1" x14ac:dyDescent="0.3">
      <c r="A21" s="9" t="s">
        <v>45</v>
      </c>
      <c r="B21" s="23" t="s">
        <v>23</v>
      </c>
      <c r="C21" s="24">
        <v>350</v>
      </c>
      <c r="D21" s="23">
        <f>-54/12</f>
        <v>-4.5</v>
      </c>
      <c r="E21" s="22" t="s">
        <v>14</v>
      </c>
      <c r="F21" s="23"/>
      <c r="G21" s="25">
        <f>ABS(C21*D21)</f>
        <v>1575</v>
      </c>
      <c r="H21" s="42">
        <f>SUM(F5:F21)-SUM(G5:G21)</f>
        <v>3210.4749999999985</v>
      </c>
      <c r="I21" s="29">
        <f t="shared" si="1"/>
        <v>713.43888888888853</v>
      </c>
      <c r="J21" s="50">
        <f>-C5-C6+C7+C8+C9-C10+C11-C12+C13+C14+C15+C16++C19+I21</f>
        <v>1348.2388888888886</v>
      </c>
      <c r="K21" s="51">
        <f>SUM(K5:K16)+(C21*D21^2)+(I21*4.5^2)</f>
        <v>72626.20503472221</v>
      </c>
    </row>
    <row r="22" spans="1:12" ht="27" customHeight="1" x14ac:dyDescent="0.3">
      <c r="A22" s="9" t="s">
        <v>50</v>
      </c>
      <c r="B22" s="27" t="s">
        <v>27</v>
      </c>
      <c r="C22" s="28">
        <v>700</v>
      </c>
      <c r="D22" s="27">
        <v>-0.28000000000000003</v>
      </c>
      <c r="E22" s="26" t="s">
        <v>10</v>
      </c>
      <c r="F22" s="27">
        <f>ABS(C22*D22)</f>
        <v>196.00000000000003</v>
      </c>
      <c r="G22" s="27"/>
      <c r="H22" s="43">
        <f>SUM(F5:F22)-SUM(G5:G22)</f>
        <v>3406.4749999999985</v>
      </c>
      <c r="I22" s="29">
        <f t="shared" si="1"/>
        <v>756.99444444444407</v>
      </c>
      <c r="J22" s="50">
        <f>-C5-C6+C7+C8+C9-C10+C11-C12+C13+C14+C15+C16++C19+I21-C22</f>
        <v>648.2388888888886</v>
      </c>
      <c r="K22" s="51">
        <f>SUM(K5:K16)+(C21*D21^2)+(I21*4.5^2)-(C22*D22^2)</f>
        <v>72571.325034722206</v>
      </c>
    </row>
    <row r="24" spans="1:12" ht="62.4" customHeight="1" x14ac:dyDescent="0.3">
      <c r="B24" s="5" t="s">
        <v>17</v>
      </c>
      <c r="C24" s="5"/>
    </row>
    <row r="26" spans="1:12" ht="15.6" x14ac:dyDescent="0.3">
      <c r="B26" s="3" t="s">
        <v>7</v>
      </c>
      <c r="K26" s="52"/>
    </row>
    <row r="27" spans="1:12" s="2" customFormat="1" ht="49.8" customHeight="1" x14ac:dyDescent="0.3">
      <c r="A27" s="4" t="s">
        <v>6</v>
      </c>
      <c r="B27" s="33" t="s">
        <v>53</v>
      </c>
      <c r="C27" s="33"/>
      <c r="D27" s="33"/>
      <c r="E27" s="33"/>
      <c r="F27" s="33"/>
      <c r="G27" s="33"/>
    </row>
    <row r="28" spans="1:12" s="2" customFormat="1" ht="36" customHeight="1" x14ac:dyDescent="0.3">
      <c r="A28" s="4" t="s">
        <v>8</v>
      </c>
      <c r="B28" s="33" t="s">
        <v>28</v>
      </c>
      <c r="C28" s="33"/>
      <c r="D28" s="33"/>
      <c r="E28" s="33"/>
      <c r="F28" s="33"/>
      <c r="G28" s="33"/>
    </row>
    <row r="29" spans="1:12" s="2" customFormat="1" ht="36" customHeight="1" x14ac:dyDescent="0.3">
      <c r="A29" s="4" t="s">
        <v>12</v>
      </c>
      <c r="B29" s="33" t="s">
        <v>13</v>
      </c>
      <c r="C29" s="33"/>
      <c r="D29" s="33"/>
      <c r="E29" s="33"/>
      <c r="F29" s="33"/>
      <c r="G29" s="33"/>
    </row>
    <row r="30" spans="1:12" s="2" customFormat="1" ht="36" customHeight="1" x14ac:dyDescent="0.3">
      <c r="A30" s="4" t="s">
        <v>30</v>
      </c>
      <c r="B30" s="33" t="s">
        <v>31</v>
      </c>
      <c r="C30" s="33"/>
      <c r="D30" s="33"/>
      <c r="E30" s="33"/>
      <c r="F30" s="33"/>
      <c r="G30" s="33"/>
    </row>
  </sheetData>
  <mergeCells count="11">
    <mergeCell ref="A3:A4"/>
    <mergeCell ref="H3:H4"/>
    <mergeCell ref="B30:G30"/>
    <mergeCell ref="B27:G27"/>
    <mergeCell ref="B28:G28"/>
    <mergeCell ref="F3:G3"/>
    <mergeCell ref="B29:G29"/>
    <mergeCell ref="B3:B4"/>
    <mergeCell ref="C3:C4"/>
    <mergeCell ref="D3:D4"/>
    <mergeCell ref="E3:E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Zolkower</dc:creator>
  <cp:lastModifiedBy>Jeff Zolkower</cp:lastModifiedBy>
  <dcterms:created xsi:type="dcterms:W3CDTF">2015-08-14T13:31:43Z</dcterms:created>
  <dcterms:modified xsi:type="dcterms:W3CDTF">2015-09-18T14:04:10Z</dcterms:modified>
</cp:coreProperties>
</file>