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 Zolkower\Documents\My Documents\PALOMAR\ZTF\Telescope Drive\Prelim Design Review\"/>
    </mc:Choice>
  </mc:AlternateContent>
  <bookViews>
    <workbookView xWindow="480" yWindow="96" windowWidth="14352" windowHeight="5700" activeTab="1"/>
  </bookViews>
  <sheets>
    <sheet name="P48_HA_Axis" sheetId="1" r:id="rId1"/>
    <sheet name="P48_Dec_Axis" sheetId="2" r:id="rId2"/>
  </sheets>
  <calcPr calcId="152511" concurrentCalc="0"/>
</workbook>
</file>

<file path=xl/calcChain.xml><?xml version="1.0" encoding="utf-8"?>
<calcChain xmlns="http://schemas.openxmlformats.org/spreadsheetml/2006/main">
  <c r="C61" i="2" l="1"/>
  <c r="B61" i="2"/>
  <c r="C59" i="2"/>
  <c r="B59" i="2"/>
  <c r="C33" i="2"/>
  <c r="B33" i="2"/>
  <c r="C29" i="2"/>
  <c r="B29" i="2"/>
  <c r="C16" i="2"/>
  <c r="C23" i="2"/>
  <c r="B16" i="2"/>
  <c r="C20" i="1"/>
  <c r="B20" i="1"/>
  <c r="C59" i="1"/>
  <c r="B59" i="1"/>
  <c r="C15" i="1"/>
  <c r="C23" i="1"/>
  <c r="B15" i="1"/>
  <c r="C33" i="1"/>
  <c r="B33" i="1"/>
  <c r="C29" i="1"/>
  <c r="C39" i="1"/>
  <c r="B29" i="1"/>
  <c r="B44" i="1"/>
  <c r="B61" i="1"/>
  <c r="C61" i="1"/>
  <c r="C43" i="2"/>
  <c r="B45" i="2"/>
  <c r="B44" i="2"/>
  <c r="B42" i="2"/>
  <c r="B40" i="2"/>
  <c r="C41" i="2"/>
  <c r="C45" i="2"/>
  <c r="C40" i="2"/>
  <c r="C42" i="2"/>
  <c r="C44" i="2"/>
  <c r="C39" i="2"/>
  <c r="B39" i="2"/>
  <c r="B41" i="2"/>
  <c r="B43" i="2"/>
  <c r="B41" i="1"/>
  <c r="C40" i="1"/>
  <c r="C41" i="1"/>
  <c r="C44" i="1"/>
  <c r="B39" i="1"/>
  <c r="B42" i="1"/>
  <c r="B45" i="1"/>
  <c r="C45" i="1"/>
  <c r="C42" i="1"/>
  <c r="C43" i="1"/>
  <c r="B40" i="1"/>
  <c r="B43" i="1"/>
  <c r="B52" i="2"/>
  <c r="B51" i="2"/>
  <c r="B56" i="2"/>
  <c r="C51" i="2"/>
  <c r="C56" i="2"/>
  <c r="C52" i="2"/>
  <c r="C51" i="1"/>
  <c r="C56" i="1"/>
  <c r="C52" i="1"/>
  <c r="B51" i="1"/>
  <c r="B56" i="1"/>
  <c r="B52" i="1"/>
  <c r="B55" i="2"/>
  <c r="C55" i="2"/>
  <c r="B55" i="1"/>
  <c r="C55" i="1"/>
</calcChain>
</file>

<file path=xl/sharedStrings.xml><?xml version="1.0" encoding="utf-8"?>
<sst xmlns="http://schemas.openxmlformats.org/spreadsheetml/2006/main" count="120" uniqueCount="92">
  <si>
    <t>Existing Vertex Configuration</t>
  </si>
  <si>
    <t>ZTF Upgrade Configuration</t>
  </si>
  <si>
    <t>HA Preload Torque (lb-in)</t>
  </si>
  <si>
    <t>Dec Preload Torque (lb-in)</t>
  </si>
  <si>
    <r>
      <t>TCS Maximum HA Speed (</t>
    </r>
    <r>
      <rPr>
        <b/>
        <sz val="11"/>
        <color theme="1"/>
        <rFont val="Calibri"/>
        <family val="2"/>
      </rPr>
      <t>°/sec)</t>
    </r>
  </si>
  <si>
    <t>TCS HA Accel / Decel (°/sec²)</t>
  </si>
  <si>
    <t>TCS Maximum Dec Speed (°/sec)</t>
  </si>
  <si>
    <t>TCS Dec Accel / Decel (°/sec²)</t>
  </si>
  <si>
    <t>HA Motor Sidereal Tracking Speed (rpm)</t>
  </si>
  <si>
    <t>Motor Continuous Stall Torque (Tc, lb-in)</t>
  </si>
  <si>
    <t>Dec Axis Frictional Torque (lb-in)</t>
  </si>
  <si>
    <t>HA Axis Frictional Torque (lb-in)</t>
  </si>
  <si>
    <t>Dec Planetary/Spur Reducer Efficiency</t>
  </si>
  <si>
    <t>HA Planetary Reducer Efficiency</t>
  </si>
  <si>
    <t>Stalled Dec Axis Torque from Motor (lb-in)</t>
  </si>
  <si>
    <t>Stalled HA Axis Torque from Motor (lb-in)</t>
  </si>
  <si>
    <t>Dec Axis Torque Limiter Rating (lb-in)</t>
  </si>
  <si>
    <t>HA Axis Torque Limiter Rating (lb-in)</t>
  </si>
  <si>
    <t>Stalled Dec Axis Torque from Limiter (lb-in)</t>
  </si>
  <si>
    <t>Stalled HA Axis Torque from Limiter (lb-in)</t>
  </si>
  <si>
    <t>Motor Feedback Resolution (motor shaft arcsec)</t>
  </si>
  <si>
    <t>HA Planetary Reduction</t>
  </si>
  <si>
    <t>Dec Planetary Reduction</t>
  </si>
  <si>
    <t>Dec Spur Reduction</t>
  </si>
  <si>
    <t>Dec Preload Weight Stack (lb)</t>
  </si>
  <si>
    <t>HA Preload Weight Stack (lb)</t>
  </si>
  <si>
    <t>Dec Preload Sheave Radius (in)</t>
  </si>
  <si>
    <t>HA Preload Sheave Radius (in)</t>
  </si>
  <si>
    <t>Polar Axis Maximum MoI (lb-in-sec²)</t>
  </si>
  <si>
    <t>Polar Axis Maximum Acceleration Torque (lb-in)</t>
  </si>
  <si>
    <r>
      <t>Tube (Dec Axis) Moment of Inertia (lb-in-sec</t>
    </r>
    <r>
      <rPr>
        <b/>
        <sz val="11"/>
        <color theme="1"/>
        <rFont val="Calibri"/>
        <family val="2"/>
      </rPr>
      <t>²)</t>
    </r>
  </si>
  <si>
    <t>Tube (Dec Axis) Acceleration Torque (lb-in)</t>
  </si>
  <si>
    <t>Dec Axis Static Torque (lb-in, North = positive)</t>
  </si>
  <si>
    <t>Dec Axis Accel North (lb-in)</t>
  </si>
  <si>
    <t>Dec Axis Cruise North (lb-in)</t>
  </si>
  <si>
    <t>Dec Axis Decel North (lb-in)</t>
  </si>
  <si>
    <t>Dec Axis Accel South (lb-in)</t>
  </si>
  <si>
    <t>Dec Axis Cruise South (lb-in)</t>
  </si>
  <si>
    <t>Dec Axis Decel South (lb-in)</t>
  </si>
  <si>
    <t>HA Axis Static Torque (lb-in, East = positive)</t>
  </si>
  <si>
    <t>HA Axis Accel East (lb-in)</t>
  </si>
  <si>
    <t>HA Axis Cruise East (lb-in)</t>
  </si>
  <si>
    <t>HA Axis Decel East (lb-in)</t>
  </si>
  <si>
    <t>HA Axis Decel West (lb-in)</t>
  </si>
  <si>
    <t>HA Axis Cruise West (lb-in)</t>
  </si>
  <si>
    <t>HA Axis Accel West (lb-in)</t>
  </si>
  <si>
    <t>Comments</t>
  </si>
  <si>
    <r>
      <t>Proposed = 0.5</t>
    </r>
    <r>
      <rPr>
        <b/>
        <sz val="11"/>
        <color theme="1"/>
        <rFont val="Calibri"/>
        <family val="2"/>
      </rPr>
      <t>°/sec²</t>
    </r>
  </si>
  <si>
    <t>Proposed = 0.5°/sec²</t>
  </si>
  <si>
    <t>HA AXIS TORQUE SCENARIOS</t>
  </si>
  <si>
    <t>DEC AXIS TORQUE SCENARIOS</t>
  </si>
  <si>
    <t>TCS SPEED/ACCELERATION SETTINGS</t>
  </si>
  <si>
    <t>MOTOR PARAMETERS</t>
  </si>
  <si>
    <t>REDUCER PARAMETERS</t>
  </si>
  <si>
    <t>STALLED TELESCOPE PARAMETERS</t>
  </si>
  <si>
    <t>Rated speed = 6000 rpm</t>
  </si>
  <si>
    <t>Motor Model (Kollmorgen)</t>
  </si>
  <si>
    <t>B-102-A-22</t>
  </si>
  <si>
    <t>AKM31E-GNC2AA00</t>
  </si>
  <si>
    <t>With brake</t>
  </si>
  <si>
    <t>HA MOTOR TRACKING PARAMETERS</t>
  </si>
  <si>
    <t>Alternatively 3:1</t>
  </si>
  <si>
    <t>Currently 315 lb; 550 lb max</t>
  </si>
  <si>
    <t>Currently 367 lb; 550 lb max</t>
  </si>
  <si>
    <t>Motor Maximum Speed (rpm)</t>
  </si>
  <si>
    <t>Amplifier velocity loop update rate (Hz)</t>
  </si>
  <si>
    <t>P48 HOUR ANGLE AXIS</t>
  </si>
  <si>
    <t>HA Worm Reduction</t>
  </si>
  <si>
    <t>HA Axis Worm Efficiency (estimated)</t>
  </si>
  <si>
    <t>HA Axis Speed @ Max Motor Speed (°/sec)</t>
  </si>
  <si>
    <t>If motor limited to Tc (line 5)</t>
  </si>
  <si>
    <t>P48 DECLINATION AXIS</t>
  </si>
  <si>
    <t>Dec Worm Reduction</t>
  </si>
  <si>
    <t>Dec Axis Worm Efficiency (estimated)</t>
  </si>
  <si>
    <t>DEC MOTOR PARAMETERS</t>
  </si>
  <si>
    <t>Dec Axis Speed @ Max Motor Speed (°/sec)</t>
  </si>
  <si>
    <t>Minimum Torque (lb-in)</t>
  </si>
  <si>
    <t>Maximum Torque (lb-in)</t>
  </si>
  <si>
    <t>Effect depends on telescope attitude; torque = imbalanced moment, worst-case</t>
  </si>
  <si>
    <t>HA Motor Max Torque - Imbalanced (lb-in)</t>
  </si>
  <si>
    <t>FRICTIONAL TORQUE</t>
  </si>
  <si>
    <t>IMBALANCED -TELESCOPE TORQUE</t>
  </si>
  <si>
    <t>Plausible Tube Vertical Imbalance Moment (in-lb)</t>
  </si>
  <si>
    <t>INERTIAL TORQUE</t>
  </si>
  <si>
    <t>PRELOAD TORQUE</t>
  </si>
  <si>
    <t>MOTOR WORKING TORQUE</t>
  </si>
  <si>
    <t>HA Motor Max Torque - Balanced (lb-in)</t>
  </si>
  <si>
    <t>AXIS MAXIMUM SPEED</t>
  </si>
  <si>
    <t>Dec Motor Maximum Torque - Balanced (lb-in)</t>
  </si>
  <si>
    <t>Dec Motor Maximum Torque - Imbalanced (lb-in)</t>
  </si>
  <si>
    <t>PLAUSIBLE IMBALANCED-TELESCOPE TORQUES</t>
  </si>
  <si>
    <t>Alternatively 25:1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</si>
</sst>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;[Red]\(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49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 wrapText="1"/>
    </xf>
    <xf numFmtId="1" fontId="1" fillId="0" borderId="0" xfId="0" applyNumberFormat="1" applyFont="1"/>
    <xf numFmtId="2" fontId="1" fillId="0" borderId="0" xfId="0" applyNumberFormat="1" applyFont="1"/>
    <xf numFmtId="1" fontId="0" fillId="0" borderId="0" xfId="0" applyNumberFormat="1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1" fillId="2" borderId="0" xfId="0" applyFont="1" applyFill="1"/>
    <xf numFmtId="165" fontId="1" fillId="2" borderId="0" xfId="0" applyNumberFormat="1" applyFont="1" applyFill="1"/>
    <xf numFmtId="2" fontId="1" fillId="2" borderId="0" xfId="0" applyNumberFormat="1" applyFont="1" applyFill="1"/>
    <xf numFmtId="2" fontId="1" fillId="3" borderId="0" xfId="0" applyNumberFormat="1" applyFont="1" applyFill="1" applyProtection="1">
      <protection locked="0"/>
    </xf>
    <xf numFmtId="1" fontId="1" fillId="3" borderId="0" xfId="0" applyNumberFormat="1" applyFont="1" applyFill="1" applyProtection="1">
      <protection locked="0"/>
    </xf>
    <xf numFmtId="1" fontId="1" fillId="2" borderId="0" xfId="0" applyNumberFormat="1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2" fontId="0" fillId="3" borderId="0" xfId="0" applyNumberFormat="1" applyFill="1" applyProtection="1">
      <protection locked="0"/>
    </xf>
    <xf numFmtId="165" fontId="0" fillId="2" borderId="0" xfId="0" applyNumberFormat="1" applyFill="1" applyAlignment="1">
      <alignment horizontal="right"/>
    </xf>
    <xf numFmtId="0" fontId="1" fillId="0" borderId="0" xfId="0" applyFont="1" applyAlignment="1">
      <alignment horizontal="right" wrapText="1"/>
    </xf>
    <xf numFmtId="1" fontId="1" fillId="3" borderId="0" xfId="0" applyNumberFormat="1" applyFont="1" applyFill="1" applyAlignment="1" applyProtection="1">
      <alignment horizontal="right" vertical="top"/>
      <protection locked="0"/>
    </xf>
    <xf numFmtId="1" fontId="1" fillId="0" borderId="0" xfId="0" applyNumberFormat="1" applyFont="1" applyFill="1" applyAlignment="1" applyProtection="1">
      <alignment horizontal="right" vertical="top"/>
      <protection locked="0"/>
    </xf>
    <xf numFmtId="0" fontId="0" fillId="0" borderId="0" xfId="0" applyFill="1"/>
    <xf numFmtId="1" fontId="1" fillId="0" borderId="0" xfId="0" applyNumberFormat="1" applyFont="1" applyFill="1"/>
    <xf numFmtId="0" fontId="1" fillId="0" borderId="0" xfId="0" applyFont="1" applyFill="1"/>
    <xf numFmtId="165" fontId="0" fillId="0" borderId="0" xfId="0" applyNumberFormat="1" applyFill="1" applyAlignment="1">
      <alignment horizontal="right"/>
    </xf>
    <xf numFmtId="0" fontId="6" fillId="0" borderId="0" xfId="0" applyFont="1" applyFill="1"/>
    <xf numFmtId="0" fontId="6" fillId="0" borderId="0" xfId="0" applyFont="1" applyAlignment="1">
      <alignment vertical="top"/>
    </xf>
    <xf numFmtId="0" fontId="1" fillId="0" borderId="0" xfId="0" applyFont="1" applyFill="1" applyAlignment="1">
      <alignment horizontal="right" vertical="top" wrapText="1"/>
    </xf>
    <xf numFmtId="0" fontId="0" fillId="0" borderId="0" xfId="0" applyFill="1" applyAlignment="1">
      <alignment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topLeftCell="A4" workbookViewId="0">
      <selection activeCell="B25" sqref="B25"/>
    </sheetView>
  </sheetViews>
  <sheetFormatPr defaultRowHeight="14.4" x14ac:dyDescent="0.3"/>
  <cols>
    <col min="1" max="1" width="47.109375" customWidth="1"/>
    <col min="2" max="3" width="22.88671875" customWidth="1"/>
    <col min="4" max="4" width="28.5546875" customWidth="1"/>
  </cols>
  <sheetData>
    <row r="1" spans="1:4" ht="45" customHeight="1" x14ac:dyDescent="0.35">
      <c r="A1" s="12" t="s">
        <v>66</v>
      </c>
      <c r="B1" s="5" t="s">
        <v>0</v>
      </c>
      <c r="C1" s="6" t="s">
        <v>1</v>
      </c>
      <c r="D1" s="10" t="s">
        <v>46</v>
      </c>
    </row>
    <row r="2" spans="1:4" ht="15" customHeight="1" x14ac:dyDescent="0.3"/>
    <row r="3" spans="1:4" ht="15" customHeight="1" x14ac:dyDescent="0.3">
      <c r="A3" s="20" t="s">
        <v>52</v>
      </c>
      <c r="C3" s="36"/>
    </row>
    <row r="4" spans="1:4" ht="15" customHeight="1" x14ac:dyDescent="0.3">
      <c r="A4" s="22" t="s">
        <v>56</v>
      </c>
      <c r="B4" s="23" t="s">
        <v>57</v>
      </c>
      <c r="C4" s="35" t="s">
        <v>58</v>
      </c>
      <c r="D4" s="23" t="s">
        <v>59</v>
      </c>
    </row>
    <row r="5" spans="1:4" x14ac:dyDescent="0.3">
      <c r="A5" s="1" t="s">
        <v>9</v>
      </c>
      <c r="B5" s="4">
        <v>7.4</v>
      </c>
      <c r="C5" s="4">
        <v>8.5</v>
      </c>
    </row>
    <row r="6" spans="1:4" x14ac:dyDescent="0.3">
      <c r="A6" s="1" t="s">
        <v>64</v>
      </c>
      <c r="B6" s="2">
        <v>7500</v>
      </c>
      <c r="C6" s="17">
        <v>8000</v>
      </c>
      <c r="D6" s="11" t="s">
        <v>55</v>
      </c>
    </row>
    <row r="7" spans="1:4" x14ac:dyDescent="0.3">
      <c r="A7" s="1"/>
      <c r="B7" s="2"/>
      <c r="C7" s="2"/>
    </row>
    <row r="8" spans="1:4" x14ac:dyDescent="0.3">
      <c r="A8" s="20" t="s">
        <v>53</v>
      </c>
      <c r="B8" s="2"/>
      <c r="C8" s="2"/>
    </row>
    <row r="9" spans="1:4" x14ac:dyDescent="0.3">
      <c r="A9" s="1" t="s">
        <v>21</v>
      </c>
      <c r="B9" s="2">
        <v>50</v>
      </c>
      <c r="C9" s="17">
        <v>30</v>
      </c>
      <c r="D9" s="11" t="s">
        <v>91</v>
      </c>
    </row>
    <row r="10" spans="1:4" x14ac:dyDescent="0.3">
      <c r="A10" s="1" t="s">
        <v>67</v>
      </c>
      <c r="B10" s="2">
        <v>540</v>
      </c>
      <c r="C10" s="2">
        <v>540</v>
      </c>
    </row>
    <row r="11" spans="1:4" x14ac:dyDescent="0.3">
      <c r="A11" s="1" t="s">
        <v>13</v>
      </c>
      <c r="B11" s="3">
        <v>0.94</v>
      </c>
      <c r="C11" s="3">
        <v>0.94</v>
      </c>
    </row>
    <row r="12" spans="1:4" x14ac:dyDescent="0.3">
      <c r="A12" s="1" t="s">
        <v>68</v>
      </c>
      <c r="B12" s="24">
        <v>0.48</v>
      </c>
      <c r="C12" s="24">
        <v>0.48</v>
      </c>
    </row>
    <row r="14" spans="1:4" s="20" customFormat="1" x14ac:dyDescent="0.3">
      <c r="A14" s="20" t="s">
        <v>87</v>
      </c>
    </row>
    <row r="15" spans="1:4" x14ac:dyDescent="0.3">
      <c r="A15" s="13" t="s">
        <v>69</v>
      </c>
      <c r="B15" s="15">
        <f>B6/B9/B10*360/60</f>
        <v>1.6666666666666667</v>
      </c>
      <c r="C15" s="15">
        <f>C6/C9/C10*360/60</f>
        <v>2.9629629629629632</v>
      </c>
    </row>
    <row r="16" spans="1:4" x14ac:dyDescent="0.3">
      <c r="A16" s="31"/>
      <c r="B16" s="37"/>
      <c r="C16" s="37"/>
    </row>
    <row r="17" spans="1:4" s="21" customFormat="1" x14ac:dyDescent="0.3">
      <c r="A17" s="33" t="s">
        <v>60</v>
      </c>
      <c r="B17" s="38"/>
      <c r="C17" s="38"/>
    </row>
    <row r="18" spans="1:4" x14ac:dyDescent="0.3">
      <c r="A18" s="1" t="s">
        <v>20</v>
      </c>
      <c r="B18">
        <v>20</v>
      </c>
      <c r="C18">
        <v>0.01</v>
      </c>
    </row>
    <row r="19" spans="1:4" x14ac:dyDescent="0.3">
      <c r="A19" s="1" t="s">
        <v>65</v>
      </c>
      <c r="C19">
        <v>16000</v>
      </c>
    </row>
    <row r="20" spans="1:4" x14ac:dyDescent="0.3">
      <c r="A20" s="13" t="s">
        <v>8</v>
      </c>
      <c r="B20" s="13">
        <f>1/1440*B9*B10</f>
        <v>18.75</v>
      </c>
      <c r="C20" s="13">
        <f>1/1440*C9*C10</f>
        <v>11.250000000000002</v>
      </c>
    </row>
    <row r="21" spans="1:4" x14ac:dyDescent="0.3">
      <c r="A21" s="1"/>
    </row>
    <row r="22" spans="1:4" s="19" customFormat="1" x14ac:dyDescent="0.3">
      <c r="A22" s="20" t="s">
        <v>51</v>
      </c>
    </row>
    <row r="23" spans="1:4" x14ac:dyDescent="0.3">
      <c r="A23" s="1" t="s">
        <v>4</v>
      </c>
      <c r="B23" s="8">
        <v>1.7</v>
      </c>
      <c r="C23" s="8">
        <f>MIN(3,C15)</f>
        <v>2.9629629629629632</v>
      </c>
    </row>
    <row r="24" spans="1:4" x14ac:dyDescent="0.3">
      <c r="A24" s="1" t="s">
        <v>5</v>
      </c>
      <c r="B24" s="16">
        <v>0.435</v>
      </c>
      <c r="C24" s="16">
        <v>0.5</v>
      </c>
      <c r="D24" s="11" t="s">
        <v>47</v>
      </c>
    </row>
    <row r="26" spans="1:4" s="19" customFormat="1" x14ac:dyDescent="0.3">
      <c r="A26" s="20" t="s">
        <v>84</v>
      </c>
    </row>
    <row r="27" spans="1:4" x14ac:dyDescent="0.3">
      <c r="A27" s="1" t="s">
        <v>25</v>
      </c>
      <c r="B27" s="17">
        <v>367</v>
      </c>
      <c r="C27" s="17">
        <v>367</v>
      </c>
      <c r="D27" s="11" t="s">
        <v>63</v>
      </c>
    </row>
    <row r="28" spans="1:4" x14ac:dyDescent="0.3">
      <c r="A28" s="1" t="s">
        <v>27</v>
      </c>
      <c r="B28" s="9">
        <v>19</v>
      </c>
      <c r="C28" s="9">
        <v>19</v>
      </c>
    </row>
    <row r="29" spans="1:4" x14ac:dyDescent="0.3">
      <c r="A29" s="13" t="s">
        <v>2</v>
      </c>
      <c r="B29" s="18">
        <f>B27/2*B28</f>
        <v>3486.5</v>
      </c>
      <c r="C29" s="18">
        <f>C27/2*C28</f>
        <v>3486.5</v>
      </c>
    </row>
    <row r="31" spans="1:4" s="19" customFormat="1" x14ac:dyDescent="0.3">
      <c r="A31" s="20" t="s">
        <v>83</v>
      </c>
    </row>
    <row r="32" spans="1:4" x14ac:dyDescent="0.3">
      <c r="A32" s="1" t="s">
        <v>28</v>
      </c>
      <c r="B32" s="2">
        <v>360000</v>
      </c>
      <c r="C32" s="2">
        <v>390000</v>
      </c>
    </row>
    <row r="33" spans="1:4" x14ac:dyDescent="0.3">
      <c r="A33" s="13" t="s">
        <v>29</v>
      </c>
      <c r="B33" s="18">
        <f>B24*3.14159/180*B32</f>
        <v>2733.1833000000001</v>
      </c>
      <c r="C33" s="18">
        <f>C24*3.14159/180*C32</f>
        <v>3403.3891666666664</v>
      </c>
    </row>
    <row r="35" spans="1:4" s="19" customFormat="1" x14ac:dyDescent="0.3">
      <c r="A35" s="20" t="s">
        <v>80</v>
      </c>
    </row>
    <row r="36" spans="1:4" x14ac:dyDescent="0.3">
      <c r="A36" s="13" t="s">
        <v>11</v>
      </c>
      <c r="B36" s="18">
        <v>2000</v>
      </c>
      <c r="C36" s="18">
        <v>2000</v>
      </c>
    </row>
    <row r="37" spans="1:4" s="29" customFormat="1" x14ac:dyDescent="0.3">
      <c r="A37" s="31"/>
      <c r="B37" s="30"/>
      <c r="C37" s="30"/>
    </row>
    <row r="38" spans="1:4" s="19" customFormat="1" x14ac:dyDescent="0.3">
      <c r="A38" s="20" t="s">
        <v>49</v>
      </c>
    </row>
    <row r="39" spans="1:4" x14ac:dyDescent="0.3">
      <c r="A39" s="13" t="s">
        <v>39</v>
      </c>
      <c r="B39" s="14">
        <f>B29</f>
        <v>3486.5</v>
      </c>
      <c r="C39" s="14">
        <f>C29</f>
        <v>3486.5</v>
      </c>
    </row>
    <row r="40" spans="1:4" x14ac:dyDescent="0.3">
      <c r="A40" s="13" t="s">
        <v>40</v>
      </c>
      <c r="B40" s="14">
        <f>B29-B33-B36</f>
        <v>-1246.6833000000001</v>
      </c>
      <c r="C40" s="14">
        <f>C29-C33-C36</f>
        <v>-1916.8891666666664</v>
      </c>
    </row>
    <row r="41" spans="1:4" x14ac:dyDescent="0.3">
      <c r="A41" s="13" t="s">
        <v>41</v>
      </c>
      <c r="B41" s="14">
        <f>B29-B36</f>
        <v>1486.5</v>
      </c>
      <c r="C41" s="14">
        <f>C29-C36</f>
        <v>1486.5</v>
      </c>
    </row>
    <row r="42" spans="1:4" x14ac:dyDescent="0.3">
      <c r="A42" s="13" t="s">
        <v>42</v>
      </c>
      <c r="B42" s="14">
        <f>B29+B33-B36</f>
        <v>4219.6833000000006</v>
      </c>
      <c r="C42" s="14">
        <f>C29+C33-C36</f>
        <v>4889.8891666666659</v>
      </c>
    </row>
    <row r="43" spans="1:4" x14ac:dyDescent="0.3">
      <c r="A43" s="13" t="s">
        <v>45</v>
      </c>
      <c r="B43" s="14">
        <f>B29+B33+B36</f>
        <v>8219.6833000000006</v>
      </c>
      <c r="C43" s="14">
        <f>C29+C33+C36</f>
        <v>8889.8891666666659</v>
      </c>
    </row>
    <row r="44" spans="1:4" x14ac:dyDescent="0.3">
      <c r="A44" s="13" t="s">
        <v>44</v>
      </c>
      <c r="B44" s="14">
        <f>B29+B36</f>
        <v>5486.5</v>
      </c>
      <c r="C44" s="14">
        <f>C29+C36</f>
        <v>5486.5</v>
      </c>
    </row>
    <row r="45" spans="1:4" x14ac:dyDescent="0.3">
      <c r="A45" s="13" t="s">
        <v>43</v>
      </c>
      <c r="B45" s="14">
        <f>B29-B33+B36</f>
        <v>2753.3166999999999</v>
      </c>
      <c r="C45" s="14">
        <f>C29-C33+C36</f>
        <v>2083.1108333333336</v>
      </c>
    </row>
    <row r="47" spans="1:4" x14ac:dyDescent="0.3">
      <c r="A47" s="33" t="s">
        <v>81</v>
      </c>
      <c r="B47" s="29"/>
    </row>
    <row r="48" spans="1:4" ht="43.2" x14ac:dyDescent="0.3">
      <c r="A48" s="22" t="s">
        <v>82</v>
      </c>
      <c r="B48" s="27">
        <v>3600</v>
      </c>
      <c r="C48" s="27">
        <v>3600</v>
      </c>
      <c r="D48" s="26" t="s">
        <v>78</v>
      </c>
    </row>
    <row r="49" spans="1:4" x14ac:dyDescent="0.3">
      <c r="A49" s="22"/>
      <c r="B49" s="28"/>
      <c r="C49" s="28"/>
      <c r="D49" s="26"/>
    </row>
    <row r="50" spans="1:4" s="20" customFormat="1" x14ac:dyDescent="0.3">
      <c r="A50" s="20" t="s">
        <v>90</v>
      </c>
    </row>
    <row r="51" spans="1:4" x14ac:dyDescent="0.3">
      <c r="A51" s="13" t="s">
        <v>77</v>
      </c>
      <c r="B51" s="25">
        <f>MAX(B39:B45)+B48</f>
        <v>11819.683300000001</v>
      </c>
      <c r="C51" s="25">
        <f>MAX(C39:C45)+C48</f>
        <v>12489.889166666666</v>
      </c>
    </row>
    <row r="52" spans="1:4" x14ac:dyDescent="0.3">
      <c r="A52" s="13" t="s">
        <v>76</v>
      </c>
      <c r="B52" s="25">
        <f>MIN(B39:B45)-B48</f>
        <v>-4846.6833000000006</v>
      </c>
      <c r="C52" s="25">
        <f>MIN(C39:C45)-C48</f>
        <v>-5516.8891666666659</v>
      </c>
    </row>
    <row r="54" spans="1:4" x14ac:dyDescent="0.3">
      <c r="A54" s="20" t="s">
        <v>85</v>
      </c>
    </row>
    <row r="55" spans="1:4" x14ac:dyDescent="0.3">
      <c r="A55" s="13" t="s">
        <v>86</v>
      </c>
      <c r="B55" s="15">
        <f>MAX(B40:B45)/B9/B10/B11/B12</f>
        <v>0.67471789630943024</v>
      </c>
      <c r="C55" s="15">
        <f>MAX(C40:C45)/C9/C10/C11/C12</f>
        <v>1.2162202804410003</v>
      </c>
    </row>
    <row r="56" spans="1:4" x14ac:dyDescent="0.3">
      <c r="A56" s="13" t="s">
        <v>79</v>
      </c>
      <c r="B56" s="15">
        <f>B51/B9/B10/B11/B12</f>
        <v>0.97022617054110871</v>
      </c>
      <c r="C56" s="15">
        <f>C51/C9/C10/C11/C12</f>
        <v>1.7087340708271312</v>
      </c>
    </row>
    <row r="58" spans="1:4" s="19" customFormat="1" x14ac:dyDescent="0.3">
      <c r="A58" s="20" t="s">
        <v>54</v>
      </c>
    </row>
    <row r="59" spans="1:4" x14ac:dyDescent="0.3">
      <c r="A59" s="1" t="s">
        <v>15</v>
      </c>
      <c r="B59" s="7">
        <f>B5*B9*B10*B11*B12</f>
        <v>90149.759999999995</v>
      </c>
      <c r="C59" s="7">
        <f>C5*C9*C10*C11*C12</f>
        <v>62130.239999999991</v>
      </c>
      <c r="D59" s="11" t="s">
        <v>70</v>
      </c>
    </row>
    <row r="60" spans="1:4" x14ac:dyDescent="0.3">
      <c r="A60" s="1" t="s">
        <v>17</v>
      </c>
      <c r="B60" s="17">
        <v>90</v>
      </c>
      <c r="C60" s="17">
        <v>90</v>
      </c>
    </row>
    <row r="61" spans="1:4" x14ac:dyDescent="0.3">
      <c r="A61" s="13" t="s">
        <v>19</v>
      </c>
      <c r="B61" s="13">
        <f>B60*B10*B12</f>
        <v>23328</v>
      </c>
      <c r="C61" s="13">
        <f>C60*C10*C12</f>
        <v>23328</v>
      </c>
    </row>
  </sheetData>
  <pageMargins left="1.45" right="0.7" top="0.75" bottom="0.75" header="0.3" footer="0.3"/>
  <pageSetup scale="6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selection activeCell="B20" sqref="B20"/>
    </sheetView>
  </sheetViews>
  <sheetFormatPr defaultRowHeight="14.4" x14ac:dyDescent="0.3"/>
  <cols>
    <col min="1" max="1" width="47.109375" customWidth="1"/>
    <col min="2" max="3" width="22.88671875" customWidth="1"/>
    <col min="4" max="4" width="28.5546875" customWidth="1"/>
  </cols>
  <sheetData>
    <row r="1" spans="1:4" ht="45" customHeight="1" x14ac:dyDescent="0.35">
      <c r="A1" s="12" t="s">
        <v>71</v>
      </c>
      <c r="B1" s="5" t="s">
        <v>0</v>
      </c>
      <c r="C1" s="6" t="s">
        <v>1</v>
      </c>
      <c r="D1" s="10" t="s">
        <v>46</v>
      </c>
    </row>
    <row r="2" spans="1:4" x14ac:dyDescent="0.3">
      <c r="A2" s="29"/>
      <c r="B2" s="29"/>
      <c r="C2" s="29"/>
    </row>
    <row r="3" spans="1:4" x14ac:dyDescent="0.3">
      <c r="A3" s="33" t="s">
        <v>52</v>
      </c>
      <c r="B3" s="29"/>
      <c r="C3" s="36"/>
    </row>
    <row r="4" spans="1:4" ht="15" customHeight="1" x14ac:dyDescent="0.3">
      <c r="A4" s="39" t="s">
        <v>56</v>
      </c>
      <c r="B4" s="40" t="s">
        <v>57</v>
      </c>
      <c r="C4" s="35" t="s">
        <v>58</v>
      </c>
      <c r="D4" s="23" t="s">
        <v>59</v>
      </c>
    </row>
    <row r="5" spans="1:4" x14ac:dyDescent="0.3">
      <c r="A5" s="1" t="s">
        <v>9</v>
      </c>
      <c r="B5" s="4">
        <v>7.4</v>
      </c>
      <c r="C5" s="4">
        <v>8.5</v>
      </c>
    </row>
    <row r="6" spans="1:4" x14ac:dyDescent="0.3">
      <c r="A6" s="1" t="s">
        <v>64</v>
      </c>
      <c r="B6" s="2">
        <v>7500</v>
      </c>
      <c r="C6" s="17">
        <v>8000</v>
      </c>
      <c r="D6" s="11" t="s">
        <v>55</v>
      </c>
    </row>
    <row r="7" spans="1:4" x14ac:dyDescent="0.3">
      <c r="A7" s="1"/>
      <c r="B7" s="2"/>
      <c r="C7" s="2"/>
    </row>
    <row r="8" spans="1:4" x14ac:dyDescent="0.3">
      <c r="A8" s="20" t="s">
        <v>53</v>
      </c>
      <c r="B8" s="2"/>
      <c r="C8" s="2"/>
    </row>
    <row r="9" spans="1:4" x14ac:dyDescent="0.3">
      <c r="A9" s="1" t="s">
        <v>22</v>
      </c>
      <c r="B9" s="2">
        <v>10</v>
      </c>
      <c r="C9" s="17">
        <v>4</v>
      </c>
      <c r="D9" s="11" t="s">
        <v>61</v>
      </c>
    </row>
    <row r="10" spans="1:4" x14ac:dyDescent="0.3">
      <c r="A10" s="1" t="s">
        <v>23</v>
      </c>
      <c r="B10" s="3">
        <v>6.6666670000000003</v>
      </c>
      <c r="C10" s="3">
        <v>6.6666670000000003</v>
      </c>
    </row>
    <row r="11" spans="1:4" x14ac:dyDescent="0.3">
      <c r="A11" s="1" t="s">
        <v>72</v>
      </c>
      <c r="B11" s="2">
        <v>540</v>
      </c>
      <c r="C11" s="2">
        <v>540</v>
      </c>
    </row>
    <row r="12" spans="1:4" x14ac:dyDescent="0.3">
      <c r="A12" s="1" t="s">
        <v>12</v>
      </c>
      <c r="B12" s="3">
        <v>0.94</v>
      </c>
      <c r="C12" s="3">
        <v>0.94</v>
      </c>
    </row>
    <row r="13" spans="1:4" x14ac:dyDescent="0.3">
      <c r="A13" s="1" t="s">
        <v>73</v>
      </c>
      <c r="B13" s="24">
        <v>0.48</v>
      </c>
      <c r="C13" s="24">
        <v>0.48</v>
      </c>
    </row>
    <row r="15" spans="1:4" x14ac:dyDescent="0.3">
      <c r="A15" s="20" t="s">
        <v>87</v>
      </c>
      <c r="B15" s="20"/>
      <c r="C15" s="20"/>
      <c r="D15" s="20"/>
    </row>
    <row r="16" spans="1:4" x14ac:dyDescent="0.3">
      <c r="A16" s="13" t="s">
        <v>75</v>
      </c>
      <c r="B16" s="15">
        <f>B6/B9/B10/B11*360/60</f>
        <v>1.249999937500003</v>
      </c>
      <c r="C16" s="15">
        <f>C6/C9/C10/C11*360/60</f>
        <v>3.3333331666666743</v>
      </c>
    </row>
    <row r="17" spans="1:4" x14ac:dyDescent="0.3">
      <c r="A17" s="31"/>
      <c r="B17" s="37"/>
      <c r="C17" s="37"/>
    </row>
    <row r="18" spans="1:4" x14ac:dyDescent="0.3">
      <c r="A18" s="33" t="s">
        <v>74</v>
      </c>
      <c r="B18" s="38"/>
      <c r="C18" s="38"/>
      <c r="D18" s="21"/>
    </row>
    <row r="19" spans="1:4" x14ac:dyDescent="0.3">
      <c r="A19" s="1" t="s">
        <v>20</v>
      </c>
      <c r="B19">
        <v>20</v>
      </c>
      <c r="C19">
        <v>0.01</v>
      </c>
    </row>
    <row r="20" spans="1:4" x14ac:dyDescent="0.3">
      <c r="A20" s="1" t="s">
        <v>65</v>
      </c>
      <c r="C20">
        <v>16000</v>
      </c>
    </row>
    <row r="21" spans="1:4" x14ac:dyDescent="0.3">
      <c r="A21" s="1"/>
    </row>
    <row r="22" spans="1:4" x14ac:dyDescent="0.3">
      <c r="A22" s="20" t="s">
        <v>51</v>
      </c>
      <c r="B22" s="19"/>
      <c r="C22" s="19"/>
      <c r="D22" s="19"/>
    </row>
    <row r="23" spans="1:4" x14ac:dyDescent="0.3">
      <c r="A23" s="1" t="s">
        <v>6</v>
      </c>
      <c r="B23" s="8">
        <v>1.3</v>
      </c>
      <c r="C23" s="8">
        <f>MIN(3,C16)</f>
        <v>3</v>
      </c>
      <c r="D23" s="11"/>
    </row>
    <row r="24" spans="1:4" x14ac:dyDescent="0.3">
      <c r="A24" s="1" t="s">
        <v>7</v>
      </c>
      <c r="B24" s="16">
        <v>0.3</v>
      </c>
      <c r="C24" s="16">
        <v>0.5</v>
      </c>
      <c r="D24" s="11" t="s">
        <v>48</v>
      </c>
    </row>
    <row r="26" spans="1:4" x14ac:dyDescent="0.3">
      <c r="A26" s="20" t="s">
        <v>84</v>
      </c>
      <c r="B26" s="19"/>
      <c r="C26" s="19"/>
      <c r="D26" s="19"/>
    </row>
    <row r="27" spans="1:4" x14ac:dyDescent="0.3">
      <c r="A27" s="1" t="s">
        <v>24</v>
      </c>
      <c r="B27" s="17">
        <v>315</v>
      </c>
      <c r="C27" s="17">
        <v>315</v>
      </c>
      <c r="D27" s="11" t="s">
        <v>62</v>
      </c>
    </row>
    <row r="28" spans="1:4" x14ac:dyDescent="0.3">
      <c r="A28" s="1" t="s">
        <v>26</v>
      </c>
      <c r="B28" s="9">
        <v>38</v>
      </c>
      <c r="C28" s="9">
        <v>38</v>
      </c>
      <c r="D28" s="1"/>
    </row>
    <row r="29" spans="1:4" x14ac:dyDescent="0.3">
      <c r="A29" s="13" t="s">
        <v>3</v>
      </c>
      <c r="B29" s="18">
        <f>B27/2*B28</f>
        <v>5985</v>
      </c>
      <c r="C29" s="18">
        <f>C27/2*C28</f>
        <v>5985</v>
      </c>
    </row>
    <row r="31" spans="1:4" x14ac:dyDescent="0.3">
      <c r="A31" s="20" t="s">
        <v>83</v>
      </c>
      <c r="B31" s="19"/>
      <c r="C31" s="19"/>
      <c r="D31" s="19"/>
    </row>
    <row r="32" spans="1:4" x14ac:dyDescent="0.3">
      <c r="A32" s="1" t="s">
        <v>30</v>
      </c>
      <c r="B32" s="2">
        <v>280570</v>
      </c>
      <c r="C32" s="2">
        <v>313000</v>
      </c>
    </row>
    <row r="33" spans="1:4" x14ac:dyDescent="0.3">
      <c r="A33" s="13" t="s">
        <v>31</v>
      </c>
      <c r="B33" s="18">
        <f>B24*3.14159/180*B32</f>
        <v>1469.0598438333332</v>
      </c>
      <c r="C33" s="18">
        <f>C24*3.14159/180*C32</f>
        <v>2731.437972222222</v>
      </c>
    </row>
    <row r="35" spans="1:4" x14ac:dyDescent="0.3">
      <c r="A35" s="20" t="s">
        <v>80</v>
      </c>
      <c r="B35" s="19"/>
      <c r="C35" s="19"/>
      <c r="D35" s="19"/>
    </row>
    <row r="36" spans="1:4" x14ac:dyDescent="0.3">
      <c r="A36" s="13" t="s">
        <v>10</v>
      </c>
      <c r="B36" s="18">
        <v>2000</v>
      </c>
      <c r="C36" s="18">
        <v>2000</v>
      </c>
    </row>
    <row r="37" spans="1:4" s="29" customFormat="1" x14ac:dyDescent="0.3">
      <c r="B37" s="30"/>
      <c r="C37" s="31"/>
    </row>
    <row r="38" spans="1:4" x14ac:dyDescent="0.3">
      <c r="A38" s="34" t="s">
        <v>50</v>
      </c>
      <c r="B38" s="28"/>
      <c r="C38" s="28"/>
      <c r="D38" s="26"/>
    </row>
    <row r="39" spans="1:4" x14ac:dyDescent="0.3">
      <c r="A39" s="13" t="s">
        <v>32</v>
      </c>
      <c r="B39" s="14">
        <f>B29</f>
        <v>5985</v>
      </c>
      <c r="C39" s="14">
        <f>C29</f>
        <v>5985</v>
      </c>
    </row>
    <row r="40" spans="1:4" x14ac:dyDescent="0.3">
      <c r="A40" s="13" t="s">
        <v>33</v>
      </c>
      <c r="B40" s="14">
        <f>B29-B33-B36</f>
        <v>2515.9401561666673</v>
      </c>
      <c r="C40" s="14">
        <f>C29-C33-C36</f>
        <v>1253.562027777778</v>
      </c>
    </row>
    <row r="41" spans="1:4" x14ac:dyDescent="0.3">
      <c r="A41" s="13" t="s">
        <v>34</v>
      </c>
      <c r="B41" s="14">
        <f>B29-B36</f>
        <v>3985</v>
      </c>
      <c r="C41" s="14">
        <f>C29-C36</f>
        <v>3985</v>
      </c>
    </row>
    <row r="42" spans="1:4" x14ac:dyDescent="0.3">
      <c r="A42" s="13" t="s">
        <v>35</v>
      </c>
      <c r="B42" s="14">
        <f>B29+B33-B36</f>
        <v>5454.0598438333327</v>
      </c>
      <c r="C42" s="14">
        <f>C29+C33-C36</f>
        <v>6716.437972222222</v>
      </c>
    </row>
    <row r="43" spans="1:4" x14ac:dyDescent="0.3">
      <c r="A43" s="13" t="s">
        <v>36</v>
      </c>
      <c r="B43" s="14">
        <f>B29+B33+B36</f>
        <v>9454.0598438333327</v>
      </c>
      <c r="C43" s="14">
        <f>C29+C33+C36</f>
        <v>10716.437972222222</v>
      </c>
    </row>
    <row r="44" spans="1:4" x14ac:dyDescent="0.3">
      <c r="A44" s="13" t="s">
        <v>37</v>
      </c>
      <c r="B44" s="14">
        <f>B29+B36</f>
        <v>7985</v>
      </c>
      <c r="C44" s="14">
        <f>C29+C36</f>
        <v>7985</v>
      </c>
    </row>
    <row r="45" spans="1:4" x14ac:dyDescent="0.3">
      <c r="A45" s="13" t="s">
        <v>38</v>
      </c>
      <c r="B45" s="14">
        <f>B29-B33+B36</f>
        <v>6515.9401561666673</v>
      </c>
      <c r="C45" s="14">
        <f>C29-C33+C36</f>
        <v>5253.562027777778</v>
      </c>
    </row>
    <row r="47" spans="1:4" x14ac:dyDescent="0.3">
      <c r="A47" s="33" t="s">
        <v>81</v>
      </c>
    </row>
    <row r="48" spans="1:4" ht="43.2" x14ac:dyDescent="0.3">
      <c r="A48" s="22" t="s">
        <v>82</v>
      </c>
      <c r="B48" s="27">
        <v>3600</v>
      </c>
      <c r="C48" s="27">
        <v>3600</v>
      </c>
      <c r="D48" s="26" t="s">
        <v>78</v>
      </c>
    </row>
    <row r="50" spans="1:4" x14ac:dyDescent="0.3">
      <c r="A50" s="20" t="s">
        <v>90</v>
      </c>
      <c r="B50" s="20"/>
      <c r="C50" s="20"/>
    </row>
    <row r="51" spans="1:4" x14ac:dyDescent="0.3">
      <c r="A51" s="13" t="s">
        <v>77</v>
      </c>
      <c r="B51" s="25">
        <f>MAX(B39:B45)+B48</f>
        <v>13054.059843833333</v>
      </c>
      <c r="C51" s="25">
        <f>MAX(C39:C45)+C48</f>
        <v>14316.437972222222</v>
      </c>
    </row>
    <row r="52" spans="1:4" x14ac:dyDescent="0.3">
      <c r="A52" s="13" t="s">
        <v>76</v>
      </c>
      <c r="B52" s="25">
        <f>MIN(B39:B45)-B48</f>
        <v>-1084.0598438333327</v>
      </c>
      <c r="C52" s="25">
        <f>MIN(C39:C45)-C48</f>
        <v>-2346.437972222222</v>
      </c>
    </row>
    <row r="53" spans="1:4" x14ac:dyDescent="0.3">
      <c r="A53" s="31"/>
      <c r="B53" s="32"/>
      <c r="C53" s="32"/>
    </row>
    <row r="54" spans="1:4" x14ac:dyDescent="0.3">
      <c r="A54" s="33" t="s">
        <v>85</v>
      </c>
      <c r="B54" s="32"/>
      <c r="C54" s="32"/>
    </row>
    <row r="55" spans="1:4" x14ac:dyDescent="0.3">
      <c r="A55" s="13" t="s">
        <v>88</v>
      </c>
      <c r="B55" s="15">
        <f>MAX(B40:B45)/B9/B10/B11/B12/B13</f>
        <v>0.58203182692636712</v>
      </c>
      <c r="C55" s="15">
        <f>MAX(C40:C45)/C9/C10/C11/C12/C13</f>
        <v>1.6493728816366773</v>
      </c>
    </row>
    <row r="56" spans="1:4" x14ac:dyDescent="0.3">
      <c r="A56" s="13" t="s">
        <v>89</v>
      </c>
      <c r="B56" s="15">
        <f>B51/B9/B10/B11/B12/B13</f>
        <v>0.80366302151856617</v>
      </c>
      <c r="C56" s="15">
        <f>C51/C9/C10/C11/C12/C13</f>
        <v>2.2034508681171752</v>
      </c>
    </row>
    <row r="58" spans="1:4" x14ac:dyDescent="0.3">
      <c r="A58" s="20" t="s">
        <v>54</v>
      </c>
      <c r="B58" s="19"/>
      <c r="C58" s="19"/>
      <c r="D58" s="19"/>
    </row>
    <row r="59" spans="1:4" x14ac:dyDescent="0.3">
      <c r="A59" s="1" t="s">
        <v>14</v>
      </c>
      <c r="B59" s="7">
        <f>B5*B9*B10*B11*B12*B13</f>
        <v>120199.68600998401</v>
      </c>
      <c r="C59" s="7">
        <f>C5*C9*C10*C11*C12*C13</f>
        <v>55226.882761344001</v>
      </c>
      <c r="D59" s="11" t="s">
        <v>70</v>
      </c>
    </row>
    <row r="60" spans="1:4" x14ac:dyDescent="0.3">
      <c r="A60" s="1" t="s">
        <v>16</v>
      </c>
      <c r="B60" s="17">
        <v>22</v>
      </c>
      <c r="C60" s="17">
        <v>22</v>
      </c>
    </row>
    <row r="61" spans="1:4" x14ac:dyDescent="0.3">
      <c r="A61" s="13" t="s">
        <v>18</v>
      </c>
      <c r="B61" s="18">
        <f>B60*B10*B11*B13*0.96</f>
        <v>36495.361824767999</v>
      </c>
      <c r="C61" s="18">
        <f>C60*C10*C11*C13*0.96</f>
        <v>36495.361824767999</v>
      </c>
    </row>
  </sheetData>
  <sheetProtection password="CF7A" sheet="1" objects="1" scenario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P48_HA_Axis</vt:lpstr>
      <vt:lpstr>P48_Dec_Axis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Jeff Zolkower</cp:lastModifiedBy>
  <cp:lastPrinted>2015-10-12T14:48:05Z</cp:lastPrinted>
  <dcterms:created xsi:type="dcterms:W3CDTF">2015-10-10T15:50:22Z</dcterms:created>
  <dcterms:modified xsi:type="dcterms:W3CDTF">2016-08-09T14:19:21Z</dcterms:modified>
</cp:coreProperties>
</file>