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4355" windowHeight="5700"/>
  </bookViews>
  <sheets>
    <sheet name="P48_HA_Axis" sheetId="1" r:id="rId1"/>
    <sheet name="P48_Dec_Axis" sheetId="2" r:id="rId2"/>
  </sheets>
  <calcPr calcId="125725"/>
</workbook>
</file>

<file path=xl/calcChain.xml><?xml version="1.0" encoding="utf-8"?>
<calcChain xmlns="http://schemas.openxmlformats.org/spreadsheetml/2006/main">
  <c r="C53" i="2"/>
  <c r="B53"/>
  <c r="C51"/>
  <c r="B51"/>
  <c r="C33"/>
  <c r="B33"/>
  <c r="C29"/>
  <c r="B29"/>
  <c r="C16"/>
  <c r="C23" s="1"/>
  <c r="B16"/>
  <c r="C20" i="1"/>
  <c r="B20"/>
  <c r="C51"/>
  <c r="B51"/>
  <c r="C15"/>
  <c r="C23" s="1"/>
  <c r="B15"/>
  <c r="C33"/>
  <c r="B33"/>
  <c r="C29"/>
  <c r="C39" s="1"/>
  <c r="B29"/>
  <c r="B44" s="1"/>
  <c r="B53"/>
  <c r="C53"/>
  <c r="C43" i="2" l="1"/>
  <c r="B45"/>
  <c r="B44"/>
  <c r="B42"/>
  <c r="B40"/>
  <c r="C41"/>
  <c r="C45"/>
  <c r="C40"/>
  <c r="C42"/>
  <c r="C44"/>
  <c r="C39"/>
  <c r="B39"/>
  <c r="B41"/>
  <c r="B43"/>
  <c r="B41" i="1"/>
  <c r="C40"/>
  <c r="C41"/>
  <c r="C44"/>
  <c r="B39"/>
  <c r="B42"/>
  <c r="B45"/>
  <c r="C45"/>
  <c r="C42"/>
  <c r="C43"/>
  <c r="B40"/>
  <c r="B43"/>
  <c r="B48" i="2" l="1"/>
  <c r="C48"/>
  <c r="B48" i="1"/>
  <c r="C48"/>
</calcChain>
</file>

<file path=xl/sharedStrings.xml><?xml version="1.0" encoding="utf-8"?>
<sst xmlns="http://schemas.openxmlformats.org/spreadsheetml/2006/main" count="106" uniqueCount="84">
  <si>
    <t>Existing Vertex Configuration</t>
  </si>
  <si>
    <t>ZTF Upgrade Configuration</t>
  </si>
  <si>
    <t>HA Preload Torque (lb-in)</t>
  </si>
  <si>
    <t>Dec Preload Torque (lb-in)</t>
  </si>
  <si>
    <r>
      <t>TCS Maximum HA Speed (</t>
    </r>
    <r>
      <rPr>
        <b/>
        <sz val="11"/>
        <color theme="1"/>
        <rFont val="Calibri"/>
        <family val="2"/>
      </rPr>
      <t>°/sec)</t>
    </r>
  </si>
  <si>
    <t>TCS HA Accel / Decel (°/sec²)</t>
  </si>
  <si>
    <t>TCS Maximum Dec Speed (°/sec)</t>
  </si>
  <si>
    <t>TCS Dec Accel / Decel (°/sec²)</t>
  </si>
  <si>
    <t>HA Motor Sidereal Tracking Speed (rpm)</t>
  </si>
  <si>
    <t>Motor Continuous Stall Torque (Tc, lb-in)</t>
  </si>
  <si>
    <t>Dec Axis Frictional Torque (lb-in)</t>
  </si>
  <si>
    <t>HA Axis Frictional Torque (lb-in)</t>
  </si>
  <si>
    <t>Dec Planetary/Spur Reducer Efficiency</t>
  </si>
  <si>
    <t>HA Planetary Reducer Efficiency</t>
  </si>
  <si>
    <t>HA Motor Maximum Torque (lb-in)</t>
  </si>
  <si>
    <t>Dec Motor Maximum Torque (lb-in)</t>
  </si>
  <si>
    <t>Stalled Dec Axis Torque from Motor (lb-in)</t>
  </si>
  <si>
    <t>Stalled HA Axis Torque from Motor (lb-in)</t>
  </si>
  <si>
    <t>Dec Axis Torque Limiter Rating (lb-in)</t>
  </si>
  <si>
    <t>HA Axis Torque Limiter Rating (lb-in)</t>
  </si>
  <si>
    <t>Stalled Dec Axis Torque from Limiter (lb-in)</t>
  </si>
  <si>
    <t>Stalled HA Axis Torque from Limiter (lb-in)</t>
  </si>
  <si>
    <t>Motor Feedback Resolution (motor shaft arcsec)</t>
  </si>
  <si>
    <t>HA Planetary Reduction</t>
  </si>
  <si>
    <t>Dec Planetary Reduction</t>
  </si>
  <si>
    <t>Dec Spur Reduction</t>
  </si>
  <si>
    <t>Dec Preload Weight Stack (lb)</t>
  </si>
  <si>
    <t>HA Preload Weight Stack (lb)</t>
  </si>
  <si>
    <t>Dec Preload Sheave Radius (in)</t>
  </si>
  <si>
    <t>HA Preload Sheave Radius (in)</t>
  </si>
  <si>
    <t>Polar Axis Maximum MoI (lb-in-sec²)</t>
  </si>
  <si>
    <t>Polar Axis Maximum Acceleration Torque (lb-in)</t>
  </si>
  <si>
    <r>
      <t>Tube (Dec Axis) Moment of Inertia (lb-in-sec</t>
    </r>
    <r>
      <rPr>
        <b/>
        <sz val="11"/>
        <color theme="1"/>
        <rFont val="Calibri"/>
        <family val="2"/>
      </rPr>
      <t>²)</t>
    </r>
  </si>
  <si>
    <t>Tube (Dec Axis) Acceleration Torque (lb-in)</t>
  </si>
  <si>
    <t>Dec Axis Static Torque (lb-in, North = positive)</t>
  </si>
  <si>
    <t>Dec Axis Accel North (lb-in)</t>
  </si>
  <si>
    <t>Dec Axis Cruise North (lb-in)</t>
  </si>
  <si>
    <t>Dec Axis Decel North (lb-in)</t>
  </si>
  <si>
    <t>Dec Axis Accel South (lb-in)</t>
  </si>
  <si>
    <t>Dec Axis Cruise South (lb-in)</t>
  </si>
  <si>
    <t>Dec Axis Decel South (lb-in)</t>
  </si>
  <si>
    <t>HA Axis Static Torque (lb-in, East = positive)</t>
  </si>
  <si>
    <t>HA Axis Accel East (lb-in)</t>
  </si>
  <si>
    <t>HA Axis Cruise East (lb-in)</t>
  </si>
  <si>
    <t>HA Axis Decel East (lb-in)</t>
  </si>
  <si>
    <t>HA Axis Decel West (lb-in)</t>
  </si>
  <si>
    <t>HA Axis Cruise West (lb-in)</t>
  </si>
  <si>
    <t>HA Axis Accel West (lb-in)</t>
  </si>
  <si>
    <t>Comments</t>
  </si>
  <si>
    <r>
      <t>Proposed = 0.5</t>
    </r>
    <r>
      <rPr>
        <b/>
        <sz val="11"/>
        <color theme="1"/>
        <rFont val="Calibri"/>
        <family val="2"/>
      </rPr>
      <t>°/sec²</t>
    </r>
  </si>
  <si>
    <t>Proposed = 0.5°/sec²</t>
  </si>
  <si>
    <t>HA AXIS TORQUE SCENARIOS</t>
  </si>
  <si>
    <t>DEC AXIS TORQUE SCENARIOS</t>
  </si>
  <si>
    <t>INERTIAL TORQUES</t>
  </si>
  <si>
    <t>PRELOAD TORQUES</t>
  </si>
  <si>
    <t>TCS SPEED/ACCELERATION SETTINGS</t>
  </si>
  <si>
    <t>MOTOR PARAMETERS</t>
  </si>
  <si>
    <t>REDUCER PARAMETERS</t>
  </si>
  <si>
    <t>AXIS MAXIMUM SPEEDS</t>
  </si>
  <si>
    <t>FRICTIONAL TORQUES</t>
  </si>
  <si>
    <t>MOTOR WORKING TORQUES</t>
  </si>
  <si>
    <t>STALLED TELESCOPE PARAMETERS</t>
  </si>
  <si>
    <t>Rated speed = 6000 rpm</t>
  </si>
  <si>
    <t>Motor Model (Kollmorgen)</t>
  </si>
  <si>
    <t>B-102-A-22</t>
  </si>
  <si>
    <t>AKM31E-GNC2AA00</t>
  </si>
  <si>
    <t>With brake</t>
  </si>
  <si>
    <t>HA MOTOR TRACKING PARAMETERS</t>
  </si>
  <si>
    <t>Alternatively 3:1</t>
  </si>
  <si>
    <t>Alternatively 20:1</t>
  </si>
  <si>
    <t>Currently 315 lb; 550 lb max</t>
  </si>
  <si>
    <t>Currently 367 lb; 550 lb max</t>
  </si>
  <si>
    <t>Motor Maximum Speed (rpm)</t>
  </si>
  <si>
    <t>Amplifier velocity loop update rate (Hz)</t>
  </si>
  <si>
    <t>P48 HOUR ANGLE AXIS</t>
  </si>
  <si>
    <t>HA Worm Reduction</t>
  </si>
  <si>
    <t>HA Axis Worm Efficiency (estimated)</t>
  </si>
  <si>
    <t>HA Axis Speed @ Max Motor Speed (°/sec)</t>
  </si>
  <si>
    <t>If motor limited to Tc (line 5)</t>
  </si>
  <si>
    <t>P48 DECLINATION AXIS</t>
  </si>
  <si>
    <t>Dec Worm Reduction</t>
  </si>
  <si>
    <t>Dec Axis Worm Efficiency (estimated)</t>
  </si>
  <si>
    <t>DEC MOTOR PARAMETERS</t>
  </si>
  <si>
    <t>Dec Axis Speed @ Max Motor Speed (°/sec)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</si>
</sst>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[Red]\(0\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49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1" fontId="1" fillId="0" borderId="0" xfId="0" applyNumberFormat="1" applyFont="1"/>
    <xf numFmtId="2" fontId="1" fillId="0" borderId="0" xfId="0" applyNumberFormat="1" applyFont="1"/>
    <xf numFmtId="1" fontId="0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1" fillId="2" borderId="0" xfId="0" applyFont="1" applyFill="1"/>
    <xf numFmtId="165" fontId="1" fillId="2" borderId="0" xfId="0" applyNumberFormat="1" applyFont="1" applyFill="1"/>
    <xf numFmtId="2" fontId="1" fillId="2" borderId="0" xfId="0" applyNumberFormat="1" applyFont="1" applyFill="1"/>
    <xf numFmtId="2" fontId="1" fillId="3" borderId="0" xfId="0" applyNumberFormat="1" applyFont="1" applyFill="1" applyProtection="1">
      <protection locked="0"/>
    </xf>
    <xf numFmtId="1" fontId="1" fillId="3" borderId="0" xfId="0" applyNumberFormat="1" applyFont="1" applyFill="1" applyProtection="1">
      <protection locked="0"/>
    </xf>
    <xf numFmtId="1" fontId="1" fillId="2" borderId="0" xfId="0" applyNumberFormat="1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4" borderId="0" xfId="0" applyFont="1" applyFill="1"/>
    <xf numFmtId="2" fontId="1" fillId="4" borderId="0" xfId="0" applyNumberFormat="1" applyFont="1" applyFill="1"/>
    <xf numFmtId="0" fontId="6" fillId="4" borderId="0" xfId="0" applyFont="1" applyFill="1"/>
    <xf numFmtId="2" fontId="6" fillId="4" borderId="0" xfId="0" applyNumberFormat="1" applyFont="1" applyFill="1"/>
    <xf numFmtId="0" fontId="0" fillId="4" borderId="0" xfId="0" applyFill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4" borderId="0" xfId="0" applyFont="1" applyFill="1" applyAlignment="1">
      <alignment horizontal="right" vertical="top" wrapText="1"/>
    </xf>
    <xf numFmtId="2" fontId="0" fillId="3" borderId="0" xfId="0" applyNumberFormat="1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3"/>
  <sheetViews>
    <sheetView tabSelected="1" workbookViewId="0"/>
  </sheetViews>
  <sheetFormatPr defaultRowHeight="15"/>
  <cols>
    <col min="1" max="1" width="47.140625" customWidth="1"/>
    <col min="2" max="3" width="22.85546875" customWidth="1"/>
    <col min="4" max="4" width="28.5703125" customWidth="1"/>
  </cols>
  <sheetData>
    <row r="1" spans="1:4" ht="45" customHeight="1">
      <c r="A1" s="12" t="s">
        <v>74</v>
      </c>
      <c r="B1" s="5" t="s">
        <v>0</v>
      </c>
      <c r="C1" s="6" t="s">
        <v>1</v>
      </c>
      <c r="D1" s="10" t="s">
        <v>48</v>
      </c>
    </row>
    <row r="2" spans="1:4" ht="15" customHeight="1"/>
    <row r="3" spans="1:4" ht="15" customHeight="1">
      <c r="A3" s="20" t="s">
        <v>56</v>
      </c>
      <c r="C3" s="26"/>
    </row>
    <row r="4" spans="1:4" ht="15" customHeight="1">
      <c r="A4" s="27" t="s">
        <v>63</v>
      </c>
      <c r="B4" s="28" t="s">
        <v>64</v>
      </c>
      <c r="C4" s="29" t="s">
        <v>65</v>
      </c>
      <c r="D4" s="28" t="s">
        <v>66</v>
      </c>
    </row>
    <row r="5" spans="1:4">
      <c r="A5" s="1" t="s">
        <v>9</v>
      </c>
      <c r="B5" s="4">
        <v>7.4</v>
      </c>
      <c r="C5" s="4">
        <v>8.5</v>
      </c>
    </row>
    <row r="6" spans="1:4">
      <c r="A6" s="1" t="s">
        <v>72</v>
      </c>
      <c r="B6" s="2">
        <v>7500</v>
      </c>
      <c r="C6" s="17">
        <v>8000</v>
      </c>
      <c r="D6" s="11" t="s">
        <v>62</v>
      </c>
    </row>
    <row r="7" spans="1:4">
      <c r="A7" s="1"/>
      <c r="B7" s="2"/>
      <c r="C7" s="2"/>
    </row>
    <row r="8" spans="1:4">
      <c r="A8" s="20" t="s">
        <v>57</v>
      </c>
      <c r="B8" s="2"/>
      <c r="C8" s="2"/>
    </row>
    <row r="9" spans="1:4">
      <c r="A9" s="1" t="s">
        <v>23</v>
      </c>
      <c r="B9" s="2">
        <v>50</v>
      </c>
      <c r="C9" s="17">
        <v>25</v>
      </c>
      <c r="D9" s="11" t="s">
        <v>69</v>
      </c>
    </row>
    <row r="10" spans="1:4">
      <c r="A10" s="1" t="s">
        <v>75</v>
      </c>
      <c r="B10" s="2">
        <v>540</v>
      </c>
      <c r="C10" s="2">
        <v>540</v>
      </c>
    </row>
    <row r="11" spans="1:4">
      <c r="A11" s="1" t="s">
        <v>13</v>
      </c>
      <c r="B11" s="3">
        <v>0.94</v>
      </c>
      <c r="C11" s="3">
        <v>0.94</v>
      </c>
    </row>
    <row r="12" spans="1:4">
      <c r="A12" s="1" t="s">
        <v>76</v>
      </c>
      <c r="B12" s="30">
        <v>0.48</v>
      </c>
      <c r="C12" s="30">
        <v>0.48</v>
      </c>
    </row>
    <row r="14" spans="1:4" s="20" customFormat="1">
      <c r="A14" s="20" t="s">
        <v>58</v>
      </c>
    </row>
    <row r="15" spans="1:4">
      <c r="A15" s="13" t="s">
        <v>77</v>
      </c>
      <c r="B15" s="15">
        <f>B6/B9/B10*360/60</f>
        <v>1.6666666666666667</v>
      </c>
      <c r="C15" s="15">
        <f>C6/C9/C10*360/60</f>
        <v>3.5555555555555554</v>
      </c>
    </row>
    <row r="16" spans="1:4">
      <c r="A16" s="22"/>
      <c r="B16" s="23"/>
      <c r="C16" s="23"/>
    </row>
    <row r="17" spans="1:4" s="21" customFormat="1">
      <c r="A17" s="24" t="s">
        <v>67</v>
      </c>
      <c r="B17" s="25"/>
      <c r="C17" s="25"/>
    </row>
    <row r="18" spans="1:4">
      <c r="A18" s="1" t="s">
        <v>22</v>
      </c>
      <c r="B18">
        <v>20</v>
      </c>
      <c r="C18">
        <v>0.01</v>
      </c>
    </row>
    <row r="19" spans="1:4">
      <c r="A19" s="1" t="s">
        <v>73</v>
      </c>
      <c r="C19">
        <v>16000</v>
      </c>
    </row>
    <row r="20" spans="1:4">
      <c r="A20" s="13" t="s">
        <v>8</v>
      </c>
      <c r="B20" s="13">
        <f>1/1440*B9*B10</f>
        <v>18.75</v>
      </c>
      <c r="C20" s="13">
        <f>1/1440*C9*C10</f>
        <v>9.375</v>
      </c>
    </row>
    <row r="21" spans="1:4">
      <c r="A21" s="1"/>
    </row>
    <row r="22" spans="1:4" s="19" customFormat="1">
      <c r="A22" s="20" t="s">
        <v>55</v>
      </c>
    </row>
    <row r="23" spans="1:4">
      <c r="A23" s="1" t="s">
        <v>4</v>
      </c>
      <c r="B23" s="8">
        <v>1.7</v>
      </c>
      <c r="C23" s="8">
        <f>MIN(3,C15)</f>
        <v>3</v>
      </c>
    </row>
    <row r="24" spans="1:4">
      <c r="A24" s="1" t="s">
        <v>5</v>
      </c>
      <c r="B24" s="16">
        <v>0.2</v>
      </c>
      <c r="C24" s="16">
        <v>0.5</v>
      </c>
      <c r="D24" s="11" t="s">
        <v>49</v>
      </c>
    </row>
    <row r="26" spans="1:4" s="19" customFormat="1">
      <c r="A26" s="20" t="s">
        <v>54</v>
      </c>
    </row>
    <row r="27" spans="1:4">
      <c r="A27" s="1" t="s">
        <v>27</v>
      </c>
      <c r="B27" s="17">
        <v>367</v>
      </c>
      <c r="C27" s="17">
        <v>367</v>
      </c>
      <c r="D27" s="11" t="s">
        <v>71</v>
      </c>
    </row>
    <row r="28" spans="1:4">
      <c r="A28" s="1" t="s">
        <v>29</v>
      </c>
      <c r="B28" s="9">
        <v>20</v>
      </c>
      <c r="C28" s="9">
        <v>20</v>
      </c>
    </row>
    <row r="29" spans="1:4">
      <c r="A29" s="13" t="s">
        <v>2</v>
      </c>
      <c r="B29" s="18">
        <f>B27/2*B28</f>
        <v>3670</v>
      </c>
      <c r="C29" s="18">
        <f>C27/2*C28</f>
        <v>3670</v>
      </c>
    </row>
    <row r="31" spans="1:4" s="19" customFormat="1">
      <c r="A31" s="20" t="s">
        <v>53</v>
      </c>
    </row>
    <row r="32" spans="1:4">
      <c r="A32" s="1" t="s">
        <v>30</v>
      </c>
      <c r="B32" s="2">
        <v>360000</v>
      </c>
      <c r="C32" s="2">
        <v>390000</v>
      </c>
    </row>
    <row r="33" spans="1:3">
      <c r="A33" s="13" t="s">
        <v>31</v>
      </c>
      <c r="B33" s="18">
        <f>B24*3.14159/180*B32</f>
        <v>1256.636</v>
      </c>
      <c r="C33" s="18">
        <f>C24*3.14159/180*C32</f>
        <v>3403.3891666666664</v>
      </c>
    </row>
    <row r="35" spans="1:3" s="19" customFormat="1">
      <c r="A35" s="20" t="s">
        <v>59</v>
      </c>
    </row>
    <row r="36" spans="1:3">
      <c r="A36" s="13" t="s">
        <v>11</v>
      </c>
      <c r="B36" s="18">
        <v>2000</v>
      </c>
      <c r="C36" s="18">
        <v>2000</v>
      </c>
    </row>
    <row r="38" spans="1:3" s="19" customFormat="1">
      <c r="A38" s="20" t="s">
        <v>51</v>
      </c>
    </row>
    <row r="39" spans="1:3">
      <c r="A39" s="13" t="s">
        <v>41</v>
      </c>
      <c r="B39" s="14">
        <f>B29</f>
        <v>3670</v>
      </c>
      <c r="C39" s="14">
        <f>C29</f>
        <v>3670</v>
      </c>
    </row>
    <row r="40" spans="1:3">
      <c r="A40" s="13" t="s">
        <v>42</v>
      </c>
      <c r="B40" s="14">
        <f>B29-B33-B36</f>
        <v>413.36400000000003</v>
      </c>
      <c r="C40" s="14">
        <f>C29-C33-C36</f>
        <v>-1733.3891666666664</v>
      </c>
    </row>
    <row r="41" spans="1:3">
      <c r="A41" s="13" t="s">
        <v>43</v>
      </c>
      <c r="B41" s="14">
        <f>B29-B36</f>
        <v>1670</v>
      </c>
      <c r="C41" s="14">
        <f>C29-C36</f>
        <v>1670</v>
      </c>
    </row>
    <row r="42" spans="1:3">
      <c r="A42" s="13" t="s">
        <v>44</v>
      </c>
      <c r="B42" s="14">
        <f>B29+B33-B36</f>
        <v>2926.6360000000004</v>
      </c>
      <c r="C42" s="14">
        <f>C29+C33-C36</f>
        <v>5073.3891666666659</v>
      </c>
    </row>
    <row r="43" spans="1:3">
      <c r="A43" s="13" t="s">
        <v>47</v>
      </c>
      <c r="B43" s="14">
        <f>B29+B33+B36</f>
        <v>6926.6360000000004</v>
      </c>
      <c r="C43" s="14">
        <f>C29+C33+C36</f>
        <v>9073.3891666666659</v>
      </c>
    </row>
    <row r="44" spans="1:3">
      <c r="A44" s="13" t="s">
        <v>46</v>
      </c>
      <c r="B44" s="14">
        <f>B29+B36</f>
        <v>5670</v>
      </c>
      <c r="C44" s="14">
        <f>C29+C36</f>
        <v>5670</v>
      </c>
    </row>
    <row r="45" spans="1:3">
      <c r="A45" s="13" t="s">
        <v>45</v>
      </c>
      <c r="B45" s="14">
        <f>B29-B33+B36</f>
        <v>4413.3639999999996</v>
      </c>
      <c r="C45" s="14">
        <f>C29-C33+C36</f>
        <v>2266.6108333333336</v>
      </c>
    </row>
    <row r="47" spans="1:3">
      <c r="A47" s="20" t="s">
        <v>60</v>
      </c>
    </row>
    <row r="48" spans="1:3">
      <c r="A48" s="13" t="s">
        <v>14</v>
      </c>
      <c r="B48" s="15">
        <f>MAX(B40:B45)/B9/B10/B11/B12</f>
        <v>0.56857729183083794</v>
      </c>
      <c r="C48" s="15">
        <f>MAX(C40:C45)/C9/C10/C11/C12</f>
        <v>1.4895897633744857</v>
      </c>
    </row>
    <row r="50" spans="1:4" s="19" customFormat="1">
      <c r="A50" s="20" t="s">
        <v>61</v>
      </c>
    </row>
    <row r="51" spans="1:4">
      <c r="A51" s="1" t="s">
        <v>17</v>
      </c>
      <c r="B51" s="7">
        <f>B5*B9*B10*B11*B12</f>
        <v>90149.759999999995</v>
      </c>
      <c r="C51" s="7">
        <f>C5*C9*C10*C11*C12</f>
        <v>51775.199999999997</v>
      </c>
      <c r="D51" s="11" t="s">
        <v>78</v>
      </c>
    </row>
    <row r="52" spans="1:4">
      <c r="A52" s="1" t="s">
        <v>19</v>
      </c>
      <c r="B52" s="17">
        <v>90</v>
      </c>
      <c r="C52" s="17">
        <v>90</v>
      </c>
    </row>
    <row r="53" spans="1:4">
      <c r="A53" s="13" t="s">
        <v>21</v>
      </c>
      <c r="B53" s="13">
        <f>B52*B10*B12</f>
        <v>23328</v>
      </c>
      <c r="C53" s="13">
        <f>C52*C10*C12</f>
        <v>23328</v>
      </c>
    </row>
  </sheetData>
  <sheetProtection password="CF7A" sheet="1" objects="1" scenarios="1"/>
  <pageMargins left="1.45" right="0.7" top="0.75" bottom="0.75" header="0.3" footer="0.3"/>
  <pageSetup scale="6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3"/>
  <sheetViews>
    <sheetView workbookViewId="0"/>
  </sheetViews>
  <sheetFormatPr defaultRowHeight="15"/>
  <cols>
    <col min="1" max="1" width="47.140625" customWidth="1"/>
    <col min="2" max="3" width="22.85546875" customWidth="1"/>
    <col min="4" max="4" width="28.5703125" customWidth="1"/>
  </cols>
  <sheetData>
    <row r="1" spans="1:4" ht="45" customHeight="1">
      <c r="A1" s="12" t="s">
        <v>79</v>
      </c>
      <c r="B1" s="5" t="s">
        <v>0</v>
      </c>
      <c r="C1" s="6" t="s">
        <v>1</v>
      </c>
      <c r="D1" s="10" t="s">
        <v>48</v>
      </c>
    </row>
    <row r="3" spans="1:4">
      <c r="A3" s="20" t="s">
        <v>56</v>
      </c>
      <c r="C3" s="26"/>
    </row>
    <row r="4" spans="1:4" ht="15" customHeight="1">
      <c r="A4" s="27" t="s">
        <v>63</v>
      </c>
      <c r="B4" s="28" t="s">
        <v>64</v>
      </c>
      <c r="C4" s="29" t="s">
        <v>65</v>
      </c>
      <c r="D4" s="28" t="s">
        <v>66</v>
      </c>
    </row>
    <row r="5" spans="1:4">
      <c r="A5" s="1" t="s">
        <v>9</v>
      </c>
      <c r="B5" s="4">
        <v>7.4</v>
      </c>
      <c r="C5" s="4">
        <v>8.5</v>
      </c>
    </row>
    <row r="6" spans="1:4">
      <c r="A6" s="1" t="s">
        <v>72</v>
      </c>
      <c r="B6" s="2">
        <v>7500</v>
      </c>
      <c r="C6" s="17">
        <v>8000</v>
      </c>
      <c r="D6" s="11" t="s">
        <v>62</v>
      </c>
    </row>
    <row r="7" spans="1:4">
      <c r="A7" s="1"/>
      <c r="B7" s="2"/>
      <c r="C7" s="2"/>
    </row>
    <row r="8" spans="1:4">
      <c r="A8" s="20" t="s">
        <v>57</v>
      </c>
      <c r="B8" s="2"/>
      <c r="C8" s="2"/>
    </row>
    <row r="9" spans="1:4">
      <c r="A9" s="1" t="s">
        <v>24</v>
      </c>
      <c r="B9" s="2">
        <v>10</v>
      </c>
      <c r="C9" s="17">
        <v>4</v>
      </c>
      <c r="D9" s="11" t="s">
        <v>68</v>
      </c>
    </row>
    <row r="10" spans="1:4">
      <c r="A10" s="1" t="s">
        <v>25</v>
      </c>
      <c r="B10" s="3">
        <v>6.6666670000000003</v>
      </c>
      <c r="C10" s="3">
        <v>6.6666670000000003</v>
      </c>
    </row>
    <row r="11" spans="1:4">
      <c r="A11" s="1" t="s">
        <v>80</v>
      </c>
      <c r="B11" s="2">
        <v>540</v>
      </c>
      <c r="C11" s="2">
        <v>540</v>
      </c>
    </row>
    <row r="12" spans="1:4">
      <c r="A12" s="1" t="s">
        <v>12</v>
      </c>
      <c r="B12" s="3">
        <v>0.94</v>
      </c>
      <c r="C12" s="3">
        <v>0.94</v>
      </c>
    </row>
    <row r="13" spans="1:4">
      <c r="A13" s="1" t="s">
        <v>81</v>
      </c>
      <c r="B13" s="30">
        <v>0.48</v>
      </c>
      <c r="C13" s="30">
        <v>0.48</v>
      </c>
    </row>
    <row r="15" spans="1:4">
      <c r="A15" s="20" t="s">
        <v>58</v>
      </c>
      <c r="B15" s="20"/>
      <c r="C15" s="20"/>
      <c r="D15" s="20"/>
    </row>
    <row r="16" spans="1:4">
      <c r="A16" s="13" t="s">
        <v>83</v>
      </c>
      <c r="B16" s="15">
        <f>B6/B9/B10/B11*360/60</f>
        <v>1.249999937500003</v>
      </c>
      <c r="C16" s="15">
        <f>C6/C9/C10/C11*360/60</f>
        <v>3.3333331666666743</v>
      </c>
    </row>
    <row r="17" spans="1:4">
      <c r="A17" s="22"/>
      <c r="B17" s="23"/>
      <c r="C17" s="23"/>
    </row>
    <row r="18" spans="1:4">
      <c r="A18" s="24" t="s">
        <v>82</v>
      </c>
      <c r="B18" s="25"/>
      <c r="C18" s="25"/>
      <c r="D18" s="21"/>
    </row>
    <row r="19" spans="1:4">
      <c r="A19" s="1" t="s">
        <v>22</v>
      </c>
      <c r="B19">
        <v>20</v>
      </c>
      <c r="C19">
        <v>0.01</v>
      </c>
    </row>
    <row r="20" spans="1:4">
      <c r="A20" s="1" t="s">
        <v>73</v>
      </c>
      <c r="C20">
        <v>16000</v>
      </c>
    </row>
    <row r="21" spans="1:4">
      <c r="A21" s="1"/>
    </row>
    <row r="22" spans="1:4">
      <c r="A22" s="20" t="s">
        <v>55</v>
      </c>
      <c r="B22" s="19"/>
      <c r="C22" s="19"/>
      <c r="D22" s="19"/>
    </row>
    <row r="23" spans="1:4">
      <c r="A23" s="1" t="s">
        <v>6</v>
      </c>
      <c r="B23" s="8">
        <v>1.3</v>
      </c>
      <c r="C23" s="8">
        <f>MIN(3,C16)</f>
        <v>3</v>
      </c>
      <c r="D23" s="11"/>
    </row>
    <row r="24" spans="1:4">
      <c r="A24" s="1" t="s">
        <v>7</v>
      </c>
      <c r="B24" s="16">
        <v>0.15</v>
      </c>
      <c r="C24" s="16">
        <v>0.5</v>
      </c>
      <c r="D24" s="11" t="s">
        <v>50</v>
      </c>
    </row>
    <row r="26" spans="1:4">
      <c r="A26" s="20" t="s">
        <v>54</v>
      </c>
      <c r="B26" s="19"/>
      <c r="C26" s="19"/>
      <c r="D26" s="19"/>
    </row>
    <row r="27" spans="1:4">
      <c r="A27" s="1" t="s">
        <v>26</v>
      </c>
      <c r="B27" s="17">
        <v>315</v>
      </c>
      <c r="C27" s="17">
        <v>315</v>
      </c>
      <c r="D27" s="11" t="s">
        <v>70</v>
      </c>
    </row>
    <row r="28" spans="1:4">
      <c r="A28" s="1" t="s">
        <v>28</v>
      </c>
      <c r="B28" s="9">
        <v>38</v>
      </c>
      <c r="C28" s="9">
        <v>38</v>
      </c>
      <c r="D28" s="1"/>
    </row>
    <row r="29" spans="1:4">
      <c r="A29" s="13" t="s">
        <v>3</v>
      </c>
      <c r="B29" s="18">
        <f>B27/2*B28</f>
        <v>5985</v>
      </c>
      <c r="C29" s="18">
        <f>C27/2*C28</f>
        <v>5985</v>
      </c>
    </row>
    <row r="31" spans="1:4">
      <c r="A31" s="20" t="s">
        <v>53</v>
      </c>
      <c r="B31" s="19"/>
      <c r="C31" s="19"/>
      <c r="D31" s="19"/>
    </row>
    <row r="32" spans="1:4">
      <c r="A32" s="1" t="s">
        <v>32</v>
      </c>
      <c r="B32" s="2">
        <v>280570</v>
      </c>
      <c r="C32" s="2">
        <v>313000</v>
      </c>
    </row>
    <row r="33" spans="1:4">
      <c r="A33" s="13" t="s">
        <v>33</v>
      </c>
      <c r="B33" s="18">
        <f>B24*3.14159/180*B32</f>
        <v>734.52992191666658</v>
      </c>
      <c r="C33" s="18">
        <f>C24*3.14159/180*C32</f>
        <v>2731.437972222222</v>
      </c>
    </row>
    <row r="35" spans="1:4">
      <c r="A35" s="20" t="s">
        <v>59</v>
      </c>
      <c r="B35" s="19"/>
      <c r="C35" s="19"/>
      <c r="D35" s="19"/>
    </row>
    <row r="36" spans="1:4">
      <c r="A36" s="13" t="s">
        <v>10</v>
      </c>
      <c r="B36" s="18">
        <v>2000</v>
      </c>
      <c r="C36" s="18">
        <v>2000</v>
      </c>
    </row>
    <row r="38" spans="1:4">
      <c r="A38" s="20" t="s">
        <v>52</v>
      </c>
      <c r="B38" s="19"/>
      <c r="C38" s="19"/>
      <c r="D38" s="19"/>
    </row>
    <row r="39" spans="1:4">
      <c r="A39" s="13" t="s">
        <v>34</v>
      </c>
      <c r="B39" s="14">
        <f>B29</f>
        <v>5985</v>
      </c>
      <c r="C39" s="14">
        <f>C29</f>
        <v>5985</v>
      </c>
    </row>
    <row r="40" spans="1:4">
      <c r="A40" s="13" t="s">
        <v>35</v>
      </c>
      <c r="B40" s="14">
        <f>B29-B33-B36</f>
        <v>3250.4700780833336</v>
      </c>
      <c r="C40" s="14">
        <f>C29-C33-C36</f>
        <v>1253.562027777778</v>
      </c>
    </row>
    <row r="41" spans="1:4">
      <c r="A41" s="13" t="s">
        <v>36</v>
      </c>
      <c r="B41" s="14">
        <f>B29-B36</f>
        <v>3985</v>
      </c>
      <c r="C41" s="14">
        <f>C29-C36</f>
        <v>3985</v>
      </c>
    </row>
    <row r="42" spans="1:4">
      <c r="A42" s="13" t="s">
        <v>37</v>
      </c>
      <c r="B42" s="14">
        <f>B29+B33-B36</f>
        <v>4719.5299219166664</v>
      </c>
      <c r="C42" s="14">
        <f>C29+C33-C36</f>
        <v>6716.437972222222</v>
      </c>
    </row>
    <row r="43" spans="1:4">
      <c r="A43" s="13" t="s">
        <v>38</v>
      </c>
      <c r="B43" s="14">
        <f>B29+B33+B36</f>
        <v>8719.5299219166664</v>
      </c>
      <c r="C43" s="14">
        <f>C29+C33+C36</f>
        <v>10716.437972222222</v>
      </c>
    </row>
    <row r="44" spans="1:4">
      <c r="A44" s="13" t="s">
        <v>39</v>
      </c>
      <c r="B44" s="14">
        <f>B29+B36</f>
        <v>7985</v>
      </c>
      <c r="C44" s="14">
        <f>C29+C36</f>
        <v>7985</v>
      </c>
    </row>
    <row r="45" spans="1:4">
      <c r="A45" s="13" t="s">
        <v>40</v>
      </c>
      <c r="B45" s="14">
        <f>B29-B33+B36</f>
        <v>7250.4700780833336</v>
      </c>
      <c r="C45" s="14">
        <f>C29-C33+C36</f>
        <v>5253.562027777778</v>
      </c>
    </row>
    <row r="47" spans="1:4">
      <c r="A47" s="20" t="s">
        <v>60</v>
      </c>
    </row>
    <row r="48" spans="1:4">
      <c r="A48" s="13" t="s">
        <v>15</v>
      </c>
      <c r="B48" s="15">
        <f>MAX(B40:B45)/B9/B10/B11/B12/B13</f>
        <v>0.53681106468800444</v>
      </c>
      <c r="C48" s="15">
        <f>MAX(C40:C45)/C9/C10/C11/C12/C13</f>
        <v>1.6493728816366773</v>
      </c>
    </row>
    <row r="50" spans="1:4">
      <c r="A50" s="20" t="s">
        <v>61</v>
      </c>
      <c r="B50" s="19"/>
      <c r="C50" s="19"/>
      <c r="D50" s="19"/>
    </row>
    <row r="51" spans="1:4">
      <c r="A51" s="1" t="s">
        <v>16</v>
      </c>
      <c r="B51" s="7">
        <f>B5*B9*B10*B11*B12*B13</f>
        <v>120199.68600998401</v>
      </c>
      <c r="C51" s="7">
        <f>C5*C9*C10*C11*C12*C13</f>
        <v>55226.882761344001</v>
      </c>
      <c r="D51" s="11" t="s">
        <v>78</v>
      </c>
    </row>
    <row r="52" spans="1:4">
      <c r="A52" s="1" t="s">
        <v>18</v>
      </c>
      <c r="B52" s="17">
        <v>22</v>
      </c>
      <c r="C52" s="17">
        <v>22</v>
      </c>
    </row>
    <row r="53" spans="1:4">
      <c r="A53" s="13" t="s">
        <v>20</v>
      </c>
      <c r="B53" s="18">
        <f>B52*B10*B11*B13*0.96</f>
        <v>36495.361824767999</v>
      </c>
      <c r="C53" s="18">
        <f>C52*C10*C11*C13*0.96</f>
        <v>36495.361824767999</v>
      </c>
    </row>
  </sheetData>
  <sheetProtection password="CF7A"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P48_HA_Axis</vt:lpstr>
      <vt:lpstr>P48_Dec_Axis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2015-10-12T14:48:05Z</cp:lastPrinted>
  <dcterms:created xsi:type="dcterms:W3CDTF">2015-10-10T15:50:22Z</dcterms:created>
  <dcterms:modified xsi:type="dcterms:W3CDTF">2015-10-18T18:05:15Z</dcterms:modified>
</cp:coreProperties>
</file>