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7055" windowHeight="11640" activeTab="0"/>
  </bookViews>
  <sheets>
    <sheet name="DMsizer" sheetId="1" r:id="rId1"/>
    <sheet name="DMstroke" sheetId="2" r:id="rId2"/>
    <sheet name="Sheet3" sheetId="3" r:id="rId3"/>
  </sheets>
  <definedNames>
    <definedName name="solver_adj" localSheetId="0" hidden="1">'DMsizer'!$C$36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'DMsizer'!$J$40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1400</definedName>
  </definedNames>
  <calcPr fullCalcOnLoad="1"/>
</workbook>
</file>

<file path=xl/comments1.xml><?xml version="1.0" encoding="utf-8"?>
<comments xmlns="http://schemas.openxmlformats.org/spreadsheetml/2006/main">
  <authors>
    <author>cneyman</author>
  </authors>
  <commentList>
    <comment ref="G8" authorId="0">
      <text>
        <r>
          <rPr>
            <b/>
            <sz val="8"/>
            <rFont val="Tahoma"/>
            <family val="0"/>
          </rPr>
          <t>cneyman:</t>
        </r>
        <r>
          <rPr>
            <sz val="8"/>
            <rFont val="Tahoma"/>
            <family val="0"/>
          </rPr>
          <t xml:space="preserve">
distance from Keck image plane. Negative sign means toward telescope secondary. 
</t>
        </r>
      </text>
    </comment>
    <comment ref="B35" authorId="0">
      <text>
        <r>
          <rPr>
            <b/>
            <sz val="8"/>
            <rFont val="Tahoma"/>
            <family val="0"/>
          </rPr>
          <t>cneyman:</t>
        </r>
        <r>
          <rPr>
            <sz val="8"/>
            <rFont val="Tahoma"/>
            <family val="0"/>
          </rPr>
          <t xml:space="preserve">
Currently this mirror has only about 2.5 microns stroke would need woofer mirror</t>
        </r>
      </text>
    </comment>
  </commentList>
</comments>
</file>

<file path=xl/sharedStrings.xml><?xml version="1.0" encoding="utf-8"?>
<sst xmlns="http://schemas.openxmlformats.org/spreadsheetml/2006/main" count="188" uniqueCount="73">
  <si>
    <t>m</t>
  </si>
  <si>
    <t xml:space="preserve">inscribed diameter 9m </t>
  </si>
  <si>
    <t>f/#</t>
  </si>
  <si>
    <t xml:space="preserve">Subaperture size at pupil </t>
  </si>
  <si>
    <t>act pitch</t>
  </si>
  <si>
    <t>mm</t>
  </si>
  <si>
    <t>effective focal length</t>
  </si>
  <si>
    <t>#act (inscribed)</t>
  </si>
  <si>
    <t>diameter = 7*(segment side-side)</t>
  </si>
  <si>
    <t xml:space="preserve">circumscribed diameter </t>
  </si>
  <si>
    <t>#act (7 seg)</t>
  </si>
  <si>
    <t>#act (circumscribed)</t>
  </si>
  <si>
    <t>Conventional DM</t>
  </si>
  <si>
    <t xml:space="preserve"> demagnification</t>
  </si>
  <si>
    <t>Keck</t>
  </si>
  <si>
    <t>diameter of DM</t>
  </si>
  <si>
    <t xml:space="preserve"> </t>
  </si>
  <si>
    <t>diameter pupil (circum)</t>
  </si>
  <si>
    <t>Min #Act across DM</t>
  </si>
  <si>
    <t>Relay Mag</t>
  </si>
  <si>
    <t>OAP focal</t>
  </si>
  <si>
    <t>Exit Pupil diameter</t>
  </si>
  <si>
    <t>Distance DM to Sec OAP</t>
  </si>
  <si>
    <t xml:space="preserve">Mems </t>
  </si>
  <si>
    <t>Boston Micromachines</t>
  </si>
  <si>
    <t>DM</t>
  </si>
  <si>
    <t>r0(500nm)</t>
  </si>
  <si>
    <t>Total Act</t>
  </si>
  <si>
    <t>KPAO Gen1</t>
  </si>
  <si>
    <t>KPAO Gen2</t>
  </si>
  <si>
    <t>KPAO Gen3</t>
  </si>
  <si>
    <t xml:space="preserve">Keck "10m" Telescope </t>
  </si>
  <si>
    <t>source: KOTN 163 Nelson</t>
  </si>
  <si>
    <t xml:space="preserve">almost RC design </t>
  </si>
  <si>
    <t>Diameter def</t>
  </si>
  <si>
    <t>value</t>
  </si>
  <si>
    <t>Distance from OPA to pupil</t>
  </si>
  <si>
    <t>Distance pupil to Sec OAP</t>
  </si>
  <si>
    <t xml:space="preserve">xinetics Photonics module </t>
  </si>
  <si>
    <t>KECK (Gen0)</t>
  </si>
  <si>
    <t xml:space="preserve">Pick ro,  and actuator spacing, </t>
  </si>
  <si>
    <t xml:space="preserve">Stroke Requirements </t>
  </si>
  <si>
    <t>Using standard expression for the phase error residual in atmosperic turbulence</t>
  </si>
  <si>
    <t>Safety margin</t>
  </si>
  <si>
    <t>sigma</t>
  </si>
  <si>
    <t>Typical ro</t>
  </si>
  <si>
    <t>cm</t>
  </si>
  <si>
    <t xml:space="preserve">5mm/7mm </t>
  </si>
  <si>
    <t>2.5 mm</t>
  </si>
  <si>
    <t>microns of stroke</t>
  </si>
  <si>
    <t>r0 (cm)</t>
  </si>
  <si>
    <t>Telescope diameter</t>
  </si>
  <si>
    <t>OAP 1</t>
  </si>
  <si>
    <t>OAP 3</t>
  </si>
  <si>
    <t xml:space="preserve">Scale to Keck </t>
  </si>
  <si>
    <t>fitting error (nm)</t>
  </si>
  <si>
    <t xml:space="preserve">instructions </t>
  </si>
  <si>
    <t>computation will determine OAP focal length and parameters</t>
  </si>
  <si>
    <t>Exit pupil location</t>
  </si>
  <si>
    <t>Distance from OAP to pupil</t>
  </si>
  <si>
    <t>sigma OPD (microns)</t>
  </si>
  <si>
    <t>wavefront OPD(microns)</t>
  </si>
  <si>
    <t>stroke surface(microns)</t>
  </si>
  <si>
    <t>Notes from Tom Price on Xinetics mirrors</t>
  </si>
  <si>
    <t>5 sigma atmosphere + 1 sigma margin</t>
  </si>
  <si>
    <t>Standard xinetics mirror</t>
  </si>
  <si>
    <t>Current Keck</t>
  </si>
  <si>
    <t>Small pitch DM</t>
  </si>
  <si>
    <t>MEMS</t>
  </si>
  <si>
    <t>OAP2</t>
  </si>
  <si>
    <t xml:space="preserve">Note TMT spec is 12 microns (OPD) 6 mircons surface </t>
  </si>
  <si>
    <t>at r0 of 10 cm at 0.5 microns</t>
  </si>
  <si>
    <t>OAP1 (upgrade)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</si>
</sst>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E+00"/>
    <numFmt numFmtId="168" formatCode="0.000000"/>
    <numFmt numFmtId="169" formatCode="0.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166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0" fillId="4" borderId="0" xfId="0" applyFill="1" applyAlignment="1">
      <alignment/>
    </xf>
    <xf numFmtId="166" fontId="0" fillId="4" borderId="0" xfId="0" applyNumberFormat="1" applyFill="1" applyAlignment="1">
      <alignment/>
    </xf>
    <xf numFmtId="164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0" fontId="0" fillId="0" borderId="0" xfId="0" applyFill="1" applyAlignment="1">
      <alignment wrapText="1"/>
    </xf>
    <xf numFmtId="166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4" borderId="0" xfId="0" applyFill="1" applyAlignment="1">
      <alignment wrapText="1"/>
    </xf>
    <xf numFmtId="0" fontId="0" fillId="5" borderId="0" xfId="0" applyFill="1" applyAlignment="1">
      <alignment/>
    </xf>
    <xf numFmtId="166" fontId="0" fillId="5" borderId="0" xfId="0" applyNumberFormat="1" applyFill="1" applyAlignment="1">
      <alignment/>
    </xf>
    <xf numFmtId="164" fontId="0" fillId="5" borderId="0" xfId="0" applyNumberFormat="1" applyFill="1" applyAlignment="1">
      <alignment/>
    </xf>
    <xf numFmtId="2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1"/>
  <sheetViews>
    <sheetView tabSelected="1" zoomScale="75" zoomScaleNormal="75" workbookViewId="0" topLeftCell="A1">
      <selection activeCell="A29" sqref="A29"/>
    </sheetView>
  </sheetViews>
  <sheetFormatPr defaultColWidth="9.140625" defaultRowHeight="12.75"/>
  <cols>
    <col min="1" max="1" width="22.57421875" style="0" customWidth="1"/>
    <col min="2" max="2" width="29.28125" style="0" customWidth="1"/>
    <col min="3" max="3" width="12.28125" style="0" customWidth="1"/>
    <col min="4" max="4" width="4.28125" style="0" bestFit="1" customWidth="1"/>
    <col min="5" max="5" width="13.8515625" style="0" customWidth="1"/>
    <col min="6" max="6" width="10.140625" style="0" customWidth="1"/>
    <col min="7" max="7" width="20.140625" style="0" customWidth="1"/>
    <col min="9" max="9" width="9.8515625" style="0" customWidth="1"/>
    <col min="10" max="10" width="10.00390625" style="0" customWidth="1"/>
    <col min="14" max="14" width="12.421875" style="0" bestFit="1" customWidth="1"/>
  </cols>
  <sheetData>
    <row r="2" spans="1:3" ht="12.75">
      <c r="A2" t="s">
        <v>56</v>
      </c>
      <c r="B2" t="s">
        <v>40</v>
      </c>
      <c r="C2" t="s">
        <v>57</v>
      </c>
    </row>
    <row r="4" spans="1:3" ht="12.75">
      <c r="A4" t="s">
        <v>31</v>
      </c>
      <c r="C4" t="s">
        <v>32</v>
      </c>
    </row>
    <row r="5" ht="12.75">
      <c r="B5" t="s">
        <v>33</v>
      </c>
    </row>
    <row r="6" spans="2:4" ht="12.75">
      <c r="B6" s="2" t="s">
        <v>6</v>
      </c>
      <c r="C6">
        <v>149.583</v>
      </c>
      <c r="D6" t="s">
        <v>0</v>
      </c>
    </row>
    <row r="7" spans="2:7" ht="12.75">
      <c r="B7" s="2" t="s">
        <v>34</v>
      </c>
      <c r="C7" t="s">
        <v>35</v>
      </c>
      <c r="E7" s="2" t="s">
        <v>2</v>
      </c>
      <c r="G7" t="s">
        <v>58</v>
      </c>
    </row>
    <row r="8" spans="2:8" ht="12.75">
      <c r="B8" t="s">
        <v>1</v>
      </c>
      <c r="C8">
        <v>9</v>
      </c>
      <c r="D8" t="s">
        <v>0</v>
      </c>
      <c r="E8" s="3">
        <f>C6/C8</f>
        <v>16.620333333333335</v>
      </c>
      <c r="G8">
        <v>-19946.26</v>
      </c>
      <c r="H8" t="s">
        <v>5</v>
      </c>
    </row>
    <row r="9" spans="2:7" ht="12.75">
      <c r="B9" t="s">
        <v>8</v>
      </c>
      <c r="C9">
        <v>10.91</v>
      </c>
      <c r="D9" t="s">
        <v>0</v>
      </c>
      <c r="E9" s="3">
        <f>C6/C9</f>
        <v>13.710632447296058</v>
      </c>
      <c r="G9" t="s">
        <v>21</v>
      </c>
    </row>
    <row r="10" spans="2:8" ht="12.75">
      <c r="B10" t="s">
        <v>9</v>
      </c>
      <c r="C10">
        <v>10.949</v>
      </c>
      <c r="D10" t="s">
        <v>0</v>
      </c>
      <c r="E10" s="3">
        <f>C6/C10</f>
        <v>13.661795597771485</v>
      </c>
      <c r="G10">
        <v>1460.131</v>
      </c>
      <c r="H10" t="s">
        <v>5</v>
      </c>
    </row>
    <row r="12" ht="9.75" customHeight="1"/>
    <row r="13" spans="2:11" ht="38.25">
      <c r="B13" s="2" t="s">
        <v>3</v>
      </c>
      <c r="E13" t="s">
        <v>7</v>
      </c>
      <c r="F13" t="s">
        <v>10</v>
      </c>
      <c r="G13" t="s">
        <v>11</v>
      </c>
      <c r="H13" s="8" t="s">
        <v>18</v>
      </c>
      <c r="I13" t="s">
        <v>27</v>
      </c>
      <c r="J13" t="s">
        <v>26</v>
      </c>
      <c r="K13" t="s">
        <v>55</v>
      </c>
    </row>
    <row r="14" spans="2:11" ht="12.75">
      <c r="B14" t="s">
        <v>39</v>
      </c>
      <c r="C14" s="6">
        <v>0.5625000160498936</v>
      </c>
      <c r="D14" t="s">
        <v>0</v>
      </c>
      <c r="E14" s="3">
        <f>C$8/C14</f>
        <v>15.999999543469706</v>
      </c>
      <c r="F14" s="3">
        <f>C$9/C14</f>
        <v>19.39555500213939</v>
      </c>
      <c r="G14" s="3">
        <f>C$9/C14</f>
        <v>19.39555500213939</v>
      </c>
      <c r="H14" s="4">
        <v>21</v>
      </c>
      <c r="I14" s="3">
        <f>PI()/4*H14^2</f>
        <v>346.3605900582747</v>
      </c>
      <c r="J14" s="1">
        <v>0.17</v>
      </c>
      <c r="K14" s="3">
        <f>SQRT(0.24*($C14/$J14)^(5/3)*(500/2/PI())^2)</f>
        <v>105.67131331448208</v>
      </c>
    </row>
    <row r="15" spans="2:11" ht="12.75">
      <c r="B15" t="s">
        <v>28</v>
      </c>
      <c r="C15" s="1">
        <v>0.35</v>
      </c>
      <c r="D15" t="s">
        <v>0</v>
      </c>
      <c r="E15" s="3">
        <f>C$8/C15</f>
        <v>25.714285714285715</v>
      </c>
      <c r="F15" s="3">
        <f>C$9/C15</f>
        <v>31.171428571428574</v>
      </c>
      <c r="G15" s="3">
        <f>C$9/C15</f>
        <v>31.171428571428574</v>
      </c>
      <c r="H15" s="4">
        <v>33</v>
      </c>
      <c r="I15" s="3">
        <f>PI()/4*H15^2</f>
        <v>855.2985999398212</v>
      </c>
      <c r="J15" s="1">
        <v>0.17</v>
      </c>
      <c r="K15" s="3">
        <f>SQRT(0.24*($C15/$J15)^(5/3)*(500/2/PI())^2)</f>
        <v>71.16148886704212</v>
      </c>
    </row>
    <row r="16" spans="2:11" ht="12.75">
      <c r="B16" s="9" t="s">
        <v>29</v>
      </c>
      <c r="C16" s="1">
        <v>0.25</v>
      </c>
      <c r="D16" s="9" t="s">
        <v>0</v>
      </c>
      <c r="E16" s="12">
        <f>C$8/C16</f>
        <v>36</v>
      </c>
      <c r="F16" s="12">
        <f>C$9/C16</f>
        <v>43.64</v>
      </c>
      <c r="G16" s="12">
        <f>C$9/C16</f>
        <v>43.64</v>
      </c>
      <c r="H16" s="19">
        <v>45</v>
      </c>
      <c r="I16" s="12">
        <f>PI()/4*H16^2</f>
        <v>1590.4312808798327</v>
      </c>
      <c r="J16" s="1">
        <v>0.17</v>
      </c>
      <c r="K16" s="12">
        <f>SQRT(0.24*($C16/$J16)^(5/3)*(500/2/PI())^2)</f>
        <v>53.76153533519115</v>
      </c>
    </row>
    <row r="17" spans="2:11" ht="12.75">
      <c r="B17" t="s">
        <v>30</v>
      </c>
      <c r="C17" s="6">
        <f>C15/2</f>
        <v>0.175</v>
      </c>
      <c r="D17" t="s">
        <v>0</v>
      </c>
      <c r="E17" s="3">
        <f>C$8/C17</f>
        <v>51.42857142857143</v>
      </c>
      <c r="F17" s="3">
        <f>C$9/C17</f>
        <v>62.34285714285715</v>
      </c>
      <c r="G17" s="3">
        <f>C$9/C17</f>
        <v>62.34285714285715</v>
      </c>
      <c r="H17" s="4">
        <v>64</v>
      </c>
      <c r="I17" s="3">
        <f>PI()/4*H17^2</f>
        <v>3216.990877275948</v>
      </c>
      <c r="J17" s="1">
        <v>0.17</v>
      </c>
      <c r="K17" s="3">
        <f>SQRT(0.24*($C17/$J17)^(5/3)*(500/2/PI())^2)</f>
        <v>39.938035277222376</v>
      </c>
    </row>
    <row r="19" spans="1:4" ht="12.75">
      <c r="A19" t="s">
        <v>66</v>
      </c>
      <c r="B19" t="s">
        <v>4</v>
      </c>
      <c r="C19" s="1">
        <v>7</v>
      </c>
      <c r="D19" t="s">
        <v>5</v>
      </c>
    </row>
    <row r="20" spans="2:15" ht="12.75">
      <c r="B20" t="s">
        <v>13</v>
      </c>
      <c r="E20" t="s">
        <v>15</v>
      </c>
      <c r="G20" t="s">
        <v>17</v>
      </c>
      <c r="I20" t="s">
        <v>19</v>
      </c>
      <c r="J20" t="s">
        <v>20</v>
      </c>
      <c r="L20" t="s">
        <v>36</v>
      </c>
      <c r="O20" t="s">
        <v>37</v>
      </c>
    </row>
    <row r="21" spans="2:16" ht="12.75">
      <c r="B21" t="s">
        <v>14</v>
      </c>
      <c r="C21">
        <f>C$19/$C14/1000</f>
        <v>0.012444444089365327</v>
      </c>
      <c r="E21">
        <f>H14*C$19</f>
        <v>147</v>
      </c>
      <c r="F21" t="s">
        <v>5</v>
      </c>
      <c r="G21" s="5">
        <f>C21*$C$10*1000</f>
        <v>136.25421833446097</v>
      </c>
      <c r="H21" t="s">
        <v>5</v>
      </c>
      <c r="I21">
        <f>$C$10*1000/G21</f>
        <v>80.3571451499848</v>
      </c>
      <c r="J21">
        <f>$C$6/I21*1000</f>
        <v>1861.4772802195337</v>
      </c>
      <c r="K21" t="s">
        <v>5</v>
      </c>
      <c r="L21">
        <f>1/(-1/(ABS($G$8)+J21)+1/J21)</f>
        <v>2035.1989535945684</v>
      </c>
      <c r="M21" t="s">
        <v>5</v>
      </c>
      <c r="O21">
        <f>1/(1/J21-1/(-1*(ABS($G$8)-J21)))</f>
        <v>1687.7556068444994</v>
      </c>
      <c r="P21" t="s">
        <v>5</v>
      </c>
    </row>
    <row r="23" ht="12.75">
      <c r="A23" t="s">
        <v>12</v>
      </c>
    </row>
    <row r="24" ht="12.75">
      <c r="B24" t="s">
        <v>16</v>
      </c>
    </row>
    <row r="25" ht="12.75">
      <c r="B25" t="s">
        <v>65</v>
      </c>
    </row>
    <row r="26" spans="2:4" ht="12.75">
      <c r="B26" t="s">
        <v>4</v>
      </c>
      <c r="C26" s="1">
        <v>5</v>
      </c>
      <c r="D26" t="s">
        <v>5</v>
      </c>
    </row>
    <row r="27" spans="2:15" ht="12.75">
      <c r="B27" t="s">
        <v>13</v>
      </c>
      <c r="E27" t="s">
        <v>15</v>
      </c>
      <c r="G27" t="s">
        <v>17</v>
      </c>
      <c r="I27" t="s">
        <v>19</v>
      </c>
      <c r="J27" t="s">
        <v>20</v>
      </c>
      <c r="L27" t="s">
        <v>59</v>
      </c>
      <c r="O27" t="s">
        <v>22</v>
      </c>
    </row>
    <row r="28" spans="2:16" ht="12.75">
      <c r="B28" t="s">
        <v>14</v>
      </c>
      <c r="C28" s="7">
        <f>C$26/$C14/1000</f>
        <v>0.008888888635260947</v>
      </c>
      <c r="E28">
        <f>H14*C$26</f>
        <v>105</v>
      </c>
      <c r="F28" t="s">
        <v>5</v>
      </c>
      <c r="G28" s="5">
        <f>C28*$C$10*1000</f>
        <v>97.32444166747212</v>
      </c>
      <c r="H28" t="s">
        <v>5</v>
      </c>
      <c r="I28" s="3">
        <f>$C$10*1000/G28</f>
        <v>112.50000320997873</v>
      </c>
      <c r="J28" s="3">
        <f>$C$6/I28*1000</f>
        <v>1329.6266287282383</v>
      </c>
      <c r="K28" t="s">
        <v>5</v>
      </c>
      <c r="L28" s="3">
        <f>1/(-1/(ABS($G$8)+J28)+1/J28)</f>
        <v>1418.2601355522354</v>
      </c>
      <c r="M28" t="s">
        <v>5</v>
      </c>
      <c r="O28">
        <f>1/(1/J28-1/(-1*(ABS($G$8)-J28)))</f>
        <v>1240.9931219042412</v>
      </c>
      <c r="P28" t="s">
        <v>5</v>
      </c>
    </row>
    <row r="29" spans="1:16" ht="12.75">
      <c r="A29" s="13" t="s">
        <v>52</v>
      </c>
      <c r="B29" s="13" t="s">
        <v>28</v>
      </c>
      <c r="C29" s="14">
        <f>C$26/$C15/1000</f>
        <v>0.014285714285714287</v>
      </c>
      <c r="D29" s="13"/>
      <c r="E29" s="13">
        <f>H15*C$26</f>
        <v>165</v>
      </c>
      <c r="F29" s="13" t="s">
        <v>5</v>
      </c>
      <c r="G29" s="15">
        <f>C29*$C$10*1000</f>
        <v>156.41428571428574</v>
      </c>
      <c r="H29" s="13" t="s">
        <v>5</v>
      </c>
      <c r="I29" s="16">
        <f>$C$10*1000/G29</f>
        <v>69.99999999999999</v>
      </c>
      <c r="J29" s="16">
        <f>$C$6/I29*1000</f>
        <v>2136.9</v>
      </c>
      <c r="K29" s="13" t="s">
        <v>5</v>
      </c>
      <c r="L29" s="16">
        <f>1/(-1/(ABS($G$8)+J29)+1/J29)</f>
        <v>2365.832221378845</v>
      </c>
      <c r="M29" s="13" t="s">
        <v>5</v>
      </c>
      <c r="N29" s="13"/>
      <c r="O29" s="13">
        <f>1/(1/J29-1/(-1*(ABS($G$8)-J29)))</f>
        <v>1907.9677786211548</v>
      </c>
      <c r="P29" s="13" t="s">
        <v>5</v>
      </c>
    </row>
    <row r="30" spans="1:16" ht="12.75">
      <c r="A30" s="9" t="s">
        <v>69</v>
      </c>
      <c r="B30" s="9" t="s">
        <v>29</v>
      </c>
      <c r="C30" s="10">
        <f>C$26/$C16/1000</f>
        <v>0.02</v>
      </c>
      <c r="D30" s="9"/>
      <c r="E30" s="9">
        <f>H16*C$26</f>
        <v>225</v>
      </c>
      <c r="F30" s="9" t="s">
        <v>5</v>
      </c>
      <c r="G30" s="11">
        <f>C30*$C$10*1000</f>
        <v>218.98000000000002</v>
      </c>
      <c r="H30" s="9" t="s">
        <v>5</v>
      </c>
      <c r="I30" s="12">
        <f>$C$10*1000/G30</f>
        <v>49.99999999999999</v>
      </c>
      <c r="J30" s="12">
        <f>$C$6/I30*1000</f>
        <v>2991.6600000000003</v>
      </c>
      <c r="K30" s="9" t="s">
        <v>5</v>
      </c>
      <c r="L30" s="12">
        <f>1/(-1/(ABS($G$8)+J30)+1/J30)</f>
        <v>3440.3671539025368</v>
      </c>
      <c r="M30" s="9" t="s">
        <v>5</v>
      </c>
      <c r="N30" s="9"/>
      <c r="O30" s="9">
        <f>1/(1/J30-1/(-1*(ABS($G$8)-J30)))</f>
        <v>2542.9528460974643</v>
      </c>
      <c r="P30" s="9" t="s">
        <v>5</v>
      </c>
    </row>
    <row r="31" spans="2:15" ht="12.75">
      <c r="B31" t="s">
        <v>30</v>
      </c>
      <c r="C31" s="7">
        <f>C$26/$C17/1000</f>
        <v>0.028571428571428574</v>
      </c>
      <c r="E31">
        <f>H17*C$26</f>
        <v>320</v>
      </c>
      <c r="F31" t="s">
        <v>5</v>
      </c>
      <c r="G31" s="5">
        <f>C31*$C$10*1000</f>
        <v>312.8285714285715</v>
      </c>
      <c r="H31" t="s">
        <v>5</v>
      </c>
      <c r="I31" s="3">
        <f>$C$10*1000/G31</f>
        <v>34.99999999999999</v>
      </c>
      <c r="J31" s="3">
        <f>$C$6/I31*1000</f>
        <v>4273.8</v>
      </c>
      <c r="K31" t="s">
        <v>5</v>
      </c>
      <c r="L31" s="3">
        <f>1/(-1/(ABS($G$8)+J31)+1/J31)</f>
        <v>5189.52888551538</v>
      </c>
      <c r="M31" t="s">
        <v>5</v>
      </c>
      <c r="O31">
        <f>1/(1/J31-1/(-1*(ABS($G$8)-J31)))</f>
        <v>3358.0711144846205</v>
      </c>
    </row>
    <row r="33" ht="12.75">
      <c r="A33" t="s">
        <v>67</v>
      </c>
    </row>
    <row r="34" spans="2:10" ht="12.75">
      <c r="B34" t="s">
        <v>25</v>
      </c>
      <c r="J34" t="s">
        <v>16</v>
      </c>
    </row>
    <row r="35" ht="12.75">
      <c r="B35" t="s">
        <v>38</v>
      </c>
    </row>
    <row r="36" spans="2:4" ht="12.75">
      <c r="B36" t="s">
        <v>4</v>
      </c>
      <c r="C36" s="1">
        <v>2.5</v>
      </c>
      <c r="D36" t="s">
        <v>5</v>
      </c>
    </row>
    <row r="37" spans="2:15" ht="12.75">
      <c r="B37" t="s">
        <v>13</v>
      </c>
      <c r="E37" t="s">
        <v>15</v>
      </c>
      <c r="G37" t="s">
        <v>17</v>
      </c>
      <c r="I37" t="s">
        <v>19</v>
      </c>
      <c r="J37" t="s">
        <v>20</v>
      </c>
      <c r="L37" t="s">
        <v>36</v>
      </c>
      <c r="O37" t="s">
        <v>22</v>
      </c>
    </row>
    <row r="38" spans="2:16" ht="12.75">
      <c r="B38" t="s">
        <v>14</v>
      </c>
      <c r="C38" s="7">
        <f>C$36/$C14/1000</f>
        <v>0.004444444317630474</v>
      </c>
      <c r="E38">
        <f>H14*C$36</f>
        <v>52.5</v>
      </c>
      <c r="F38" t="s">
        <v>5</v>
      </c>
      <c r="G38" s="5">
        <f>C38*$C$10*1000</f>
        <v>48.66222083373606</v>
      </c>
      <c r="H38" t="s">
        <v>5</v>
      </c>
      <c r="I38" s="3">
        <f>$C$10*1000/G38</f>
        <v>225.00000641995746</v>
      </c>
      <c r="J38">
        <f>$C$6/I38*100</f>
        <v>66.48133143641192</v>
      </c>
      <c r="K38" t="s">
        <v>5</v>
      </c>
      <c r="L38" s="3">
        <f>1/(-1/(ABS($G$8)+J38)+1/J38)</f>
        <v>66.70291520347192</v>
      </c>
      <c r="M38" t="s">
        <v>5</v>
      </c>
      <c r="O38">
        <f>1/(1/J38-1/(-1*(ABS($G$8)-J38)))</f>
        <v>66.25974766935192</v>
      </c>
      <c r="P38" t="s">
        <v>5</v>
      </c>
    </row>
    <row r="39" spans="2:16" ht="12.75">
      <c r="B39" t="s">
        <v>28</v>
      </c>
      <c r="C39" s="7">
        <f>C$36/$C15/1000</f>
        <v>0.0071428571428571435</v>
      </c>
      <c r="E39">
        <f>H15*C$36</f>
        <v>82.5</v>
      </c>
      <c r="F39" t="s">
        <v>5</v>
      </c>
      <c r="G39" s="5">
        <f>C39*$C$10*1000</f>
        <v>78.20714285714287</v>
      </c>
      <c r="H39" t="s">
        <v>5</v>
      </c>
      <c r="I39" s="3">
        <f>$C$10*1000/G39</f>
        <v>139.99999999999997</v>
      </c>
      <c r="J39">
        <f>$C$6/I39*1000</f>
        <v>1068.45</v>
      </c>
      <c r="K39" t="s">
        <v>5</v>
      </c>
      <c r="L39" s="3">
        <f>1/(-1/(ABS($G$8)+J39)+1/J39)</f>
        <v>1125.6830553447114</v>
      </c>
      <c r="M39" t="s">
        <v>5</v>
      </c>
      <c r="O39">
        <f>1/(1/J39-1/(-1*(ABS($G$8)-J39)))</f>
        <v>1011.2169446552889</v>
      </c>
      <c r="P39" t="s">
        <v>5</v>
      </c>
    </row>
    <row r="40" spans="1:16" s="17" customFormat="1" ht="12.75">
      <c r="A40" s="25" t="s">
        <v>53</v>
      </c>
      <c r="B40" s="25" t="s">
        <v>29</v>
      </c>
      <c r="C40" s="26">
        <f>C$36/$C16/1000</f>
        <v>0.01</v>
      </c>
      <c r="D40" s="25"/>
      <c r="E40" s="25">
        <f>H16*C$36</f>
        <v>112.5</v>
      </c>
      <c r="F40" s="25" t="s">
        <v>5</v>
      </c>
      <c r="G40" s="27">
        <f>C40*$C$10*1000</f>
        <v>109.49000000000001</v>
      </c>
      <c r="H40" s="25" t="s">
        <v>5</v>
      </c>
      <c r="I40" s="28">
        <f>$C$10*1000/G40</f>
        <v>99.99999999999999</v>
      </c>
      <c r="J40" s="25">
        <f>$C$6/I40*1000</f>
        <v>1495.8300000000002</v>
      </c>
      <c r="K40" s="25" t="s">
        <v>5</v>
      </c>
      <c r="L40" s="28">
        <f>1/(-1/(ABS($G$8)+J40)+1/J40)</f>
        <v>1608.0067884756343</v>
      </c>
      <c r="M40" s="25" t="s">
        <v>5</v>
      </c>
      <c r="N40" s="25"/>
      <c r="O40" s="25">
        <f>1/(1/J40-1/(-1*(ABS($G$8)-J40)))</f>
        <v>1383.653211524366</v>
      </c>
      <c r="P40" s="25" t="s">
        <v>5</v>
      </c>
    </row>
    <row r="41" spans="1:16" ht="12.75">
      <c r="A41" s="24" t="s">
        <v>72</v>
      </c>
      <c r="B41" s="13" t="s">
        <v>30</v>
      </c>
      <c r="C41" s="14">
        <f>C$36/$C17/1000</f>
        <v>0.014285714285714287</v>
      </c>
      <c r="D41" s="13"/>
      <c r="E41" s="13">
        <f>H17*C$36</f>
        <v>160</v>
      </c>
      <c r="F41" s="13" t="s">
        <v>5</v>
      </c>
      <c r="G41" s="15">
        <f>C41*$C$10*1000</f>
        <v>156.41428571428574</v>
      </c>
      <c r="H41" s="13" t="s">
        <v>5</v>
      </c>
      <c r="I41" s="16">
        <f>$C$10*1000/G41</f>
        <v>69.99999999999999</v>
      </c>
      <c r="J41" s="13">
        <f>$C$6/I41*1000</f>
        <v>2136.9</v>
      </c>
      <c r="K41" s="13" t="s">
        <v>5</v>
      </c>
      <c r="L41" s="16">
        <f>1/(-1/(ABS($G$8)+J41)+1/J41)</f>
        <v>2365.832221378845</v>
      </c>
      <c r="M41" s="13" t="s">
        <v>5</v>
      </c>
      <c r="N41" s="13"/>
      <c r="O41" s="13">
        <f>1/(1/J41-1/(-1*(ABS($G$8)-J41)))</f>
        <v>1907.9677786211548</v>
      </c>
      <c r="P41" s="13" t="s">
        <v>5</v>
      </c>
    </row>
    <row r="42" spans="1:12" s="17" customFormat="1" ht="12.75">
      <c r="A42" s="20"/>
      <c r="C42" s="21"/>
      <c r="G42" s="22"/>
      <c r="I42" s="23"/>
      <c r="L42" s="23"/>
    </row>
    <row r="43" ht="12.75">
      <c r="A43" t="s">
        <v>68</v>
      </c>
    </row>
    <row r="44" ht="12.75">
      <c r="B44" t="s">
        <v>23</v>
      </c>
    </row>
    <row r="45" ht="12.75">
      <c r="B45" t="s">
        <v>24</v>
      </c>
    </row>
    <row r="46" spans="2:4" ht="12.75">
      <c r="B46" t="s">
        <v>4</v>
      </c>
      <c r="C46" s="1">
        <v>0.3</v>
      </c>
      <c r="D46" t="s">
        <v>5</v>
      </c>
    </row>
    <row r="47" spans="2:15" ht="12.75">
      <c r="B47" t="s">
        <v>13</v>
      </c>
      <c r="E47" t="s">
        <v>15</v>
      </c>
      <c r="G47" t="s">
        <v>17</v>
      </c>
      <c r="I47" t="s">
        <v>19</v>
      </c>
      <c r="J47" t="s">
        <v>20</v>
      </c>
      <c r="L47" t="s">
        <v>36</v>
      </c>
      <c r="O47" t="s">
        <v>22</v>
      </c>
    </row>
    <row r="48" spans="2:16" ht="12.75">
      <c r="B48" t="s">
        <v>14</v>
      </c>
      <c r="C48" s="18">
        <f>C$46/$C$14/1000</f>
        <v>0.0005333333181156568</v>
      </c>
      <c r="E48" s="3">
        <f>H14*C$46</f>
        <v>6.3</v>
      </c>
      <c r="F48" t="s">
        <v>5</v>
      </c>
      <c r="G48" s="5">
        <f>C48*$C$10*1000</f>
        <v>5.839466500048327</v>
      </c>
      <c r="H48" t="s">
        <v>5</v>
      </c>
      <c r="I48" s="3">
        <f>$C$10*1000/G48</f>
        <v>1875.0000534996454</v>
      </c>
      <c r="J48">
        <f>$C$6/I48*100</f>
        <v>7.977759772369429</v>
      </c>
      <c r="K48" t="s">
        <v>5</v>
      </c>
      <c r="L48">
        <f>1/(-1/(ABS($G$8)+J48)+1/J48)</f>
        <v>7.980950578615094</v>
      </c>
      <c r="M48" t="s">
        <v>5</v>
      </c>
      <c r="O48">
        <f>1/(1/(ABS($G$8)+J48+L48)+1/J48)</f>
        <v>7.974572790654911</v>
      </c>
      <c r="P48" t="s">
        <v>5</v>
      </c>
    </row>
    <row r="49" spans="2:16" ht="12.75">
      <c r="B49" t="s">
        <v>28</v>
      </c>
      <c r="C49" s="18">
        <f>C$46/$C$15/1000</f>
        <v>0.0008571428571428572</v>
      </c>
      <c r="E49" s="3">
        <f>H15*C$46</f>
        <v>9.9</v>
      </c>
      <c r="F49" t="s">
        <v>5</v>
      </c>
      <c r="G49" s="5">
        <f>C49*$C$10*1000</f>
        <v>9.384857142857143</v>
      </c>
      <c r="H49" t="s">
        <v>5</v>
      </c>
      <c r="I49" s="3">
        <f>$C$10*1000/G49</f>
        <v>1166.6666666666665</v>
      </c>
      <c r="J49">
        <f>$C$6/I49*1000</f>
        <v>128.21400000000003</v>
      </c>
      <c r="K49" t="s">
        <v>5</v>
      </c>
      <c r="L49">
        <f>1/(-1/(ABS($G$8)+J49)+1/J49)</f>
        <v>129.03815599696387</v>
      </c>
      <c r="M49" t="s">
        <v>5</v>
      </c>
      <c r="O49">
        <f>1/(1/(ABS($G$8)+J49+L49)+1/J49)</f>
        <v>127.40546905334693</v>
      </c>
      <c r="P49" t="s">
        <v>5</v>
      </c>
    </row>
    <row r="50" spans="2:16" ht="12.75">
      <c r="B50" t="s">
        <v>29</v>
      </c>
      <c r="C50" s="18">
        <f>C$46/$C$16/1000</f>
        <v>0.0012</v>
      </c>
      <c r="E50" s="3">
        <f>H16*C$46</f>
        <v>13.5</v>
      </c>
      <c r="F50" t="s">
        <v>5</v>
      </c>
      <c r="G50" s="5">
        <f>C50*$C$10*1000</f>
        <v>13.1388</v>
      </c>
      <c r="H50" t="s">
        <v>5</v>
      </c>
      <c r="I50" s="3">
        <f>$C$10*1000/G50</f>
        <v>833.3333333333334</v>
      </c>
      <c r="J50">
        <f>$C$6/I50*1000</f>
        <v>179.4996</v>
      </c>
      <c r="K50" t="s">
        <v>5</v>
      </c>
      <c r="L50">
        <f>1/(-1/(ABS($G$8)+J50)+1/J50)</f>
        <v>181.11494575404913</v>
      </c>
      <c r="M50" t="s">
        <v>5</v>
      </c>
      <c r="O50">
        <f>1/(1/(ABS($G$8)+J50+L50)+1/J50)</f>
        <v>177.92684211854552</v>
      </c>
      <c r="P50" t="s">
        <v>5</v>
      </c>
    </row>
    <row r="51" spans="2:16" ht="12.75">
      <c r="B51" s="17" t="s">
        <v>30</v>
      </c>
      <c r="C51" s="18">
        <f>C$46/$C$17/1000</f>
        <v>0.0017142857142857144</v>
      </c>
      <c r="E51" s="3">
        <f>H17*C$46</f>
        <v>19.2</v>
      </c>
      <c r="F51" t="s">
        <v>5</v>
      </c>
      <c r="G51" s="5">
        <f>C51*$C$10*1000</f>
        <v>18.769714285714286</v>
      </c>
      <c r="H51" t="s">
        <v>5</v>
      </c>
      <c r="I51" s="3">
        <f>$C$10*1000/G51</f>
        <v>583.3333333333333</v>
      </c>
      <c r="J51">
        <f>$C$6/I51*1000</f>
        <v>256.42800000000005</v>
      </c>
      <c r="K51" t="s">
        <v>5</v>
      </c>
      <c r="L51">
        <f>1/(-1/(ABS($G$8)+J51)+1/J51)</f>
        <v>259.7246239878554</v>
      </c>
      <c r="M51" t="s">
        <v>5</v>
      </c>
      <c r="O51">
        <f>1/(1/(ABS($G$8)+J51+L51)+1/J51)</f>
        <v>253.25430315193077</v>
      </c>
      <c r="P51" t="s">
        <v>5</v>
      </c>
    </row>
  </sheetData>
  <printOptions/>
  <pageMargins left="0.75" right="0.75" top="1" bottom="1" header="0.5" footer="0.5"/>
  <pageSetup fitToHeight="1" fitToWidth="1" horizontalDpi="600" verticalDpi="600" orientation="landscape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4"/>
  <sheetViews>
    <sheetView workbookViewId="0" topLeftCell="A1">
      <selection activeCell="G21" sqref="G21"/>
    </sheetView>
  </sheetViews>
  <sheetFormatPr defaultColWidth="9.140625" defaultRowHeight="12.75"/>
  <cols>
    <col min="3" max="3" width="13.8515625" style="0" customWidth="1"/>
    <col min="4" max="4" width="16.28125" style="0" customWidth="1"/>
    <col min="5" max="5" width="14.8515625" style="0" customWidth="1"/>
  </cols>
  <sheetData>
    <row r="3" ht="12.75">
      <c r="B3" t="s">
        <v>41</v>
      </c>
    </row>
    <row r="5" ht="12.75">
      <c r="B5" t="s">
        <v>42</v>
      </c>
    </row>
    <row r="7" spans="2:5" ht="12.75">
      <c r="B7" t="s">
        <v>43</v>
      </c>
      <c r="D7">
        <v>6</v>
      </c>
      <c r="E7" t="s">
        <v>44</v>
      </c>
    </row>
    <row r="8" spans="2:5" ht="12.75">
      <c r="B8" t="s">
        <v>51</v>
      </c>
      <c r="D8">
        <v>10</v>
      </c>
      <c r="E8" t="s">
        <v>0</v>
      </c>
    </row>
    <row r="9" spans="2:5" ht="12.75">
      <c r="B9" t="s">
        <v>45</v>
      </c>
      <c r="D9">
        <v>18</v>
      </c>
      <c r="E9" t="s">
        <v>46</v>
      </c>
    </row>
    <row r="14" spans="2:7" ht="25.5">
      <c r="B14" t="s">
        <v>50</v>
      </c>
      <c r="C14" s="8" t="s">
        <v>60</v>
      </c>
      <c r="D14" s="8" t="s">
        <v>61</v>
      </c>
      <c r="E14" s="8" t="s">
        <v>62</v>
      </c>
      <c r="G14" t="s">
        <v>63</v>
      </c>
    </row>
    <row r="15" spans="2:10" ht="12.75">
      <c r="B15">
        <v>6</v>
      </c>
      <c r="C15" s="3">
        <f>((0.5/2/PI())*SQRT(0.134)*($D$8*100/$B15)^(5/6))</f>
        <v>2.069584484447325</v>
      </c>
      <c r="D15" s="3">
        <f>$D$7*C15</f>
        <v>12.417506906683949</v>
      </c>
      <c r="E15" s="3">
        <f>D15/2</f>
        <v>6.208753453341974</v>
      </c>
      <c r="G15" t="s">
        <v>4</v>
      </c>
      <c r="H15" t="s">
        <v>47</v>
      </c>
      <c r="I15">
        <v>4</v>
      </c>
      <c r="J15" t="s">
        <v>49</v>
      </c>
    </row>
    <row r="16" spans="2:5" ht="12.75">
      <c r="B16">
        <f>B15+2</f>
        <v>8</v>
      </c>
      <c r="C16" s="3">
        <f aca="true" t="shared" si="0" ref="C16:C24">((0.5/2/PI())*SQRT(0.134)*($D$8*100/$B16)^(5/6))</f>
        <v>1.6284241932430608</v>
      </c>
      <c r="D16" s="3">
        <f aca="true" t="shared" si="1" ref="D16:D24">$D$7*C16</f>
        <v>9.770545159458365</v>
      </c>
      <c r="E16" s="3">
        <f aca="true" t="shared" si="2" ref="E16:E24">D16/2</f>
        <v>4.8852725797291825</v>
      </c>
    </row>
    <row r="17" spans="2:10" ht="12.75">
      <c r="B17" s="1">
        <f aca="true" t="shared" si="3" ref="B17:B24">B16+2</f>
        <v>10</v>
      </c>
      <c r="C17" s="6">
        <f t="shared" si="0"/>
        <v>1.352101211197207</v>
      </c>
      <c r="D17" s="6">
        <f t="shared" si="1"/>
        <v>8.112607267183243</v>
      </c>
      <c r="E17" s="6">
        <f t="shared" si="2"/>
        <v>4.056303633591622</v>
      </c>
      <c r="G17" t="s">
        <v>4</v>
      </c>
      <c r="H17" t="s">
        <v>48</v>
      </c>
      <c r="I17">
        <v>2.5</v>
      </c>
      <c r="J17" t="s">
        <v>49</v>
      </c>
    </row>
    <row r="18" spans="2:5" ht="12.75">
      <c r="B18">
        <f t="shared" si="3"/>
        <v>12</v>
      </c>
      <c r="C18" s="3">
        <f t="shared" si="0"/>
        <v>1.1615150197810205</v>
      </c>
      <c r="D18" s="3">
        <f t="shared" si="1"/>
        <v>6.969090118686123</v>
      </c>
      <c r="E18" s="3">
        <f t="shared" si="2"/>
        <v>3.4845450593430614</v>
      </c>
    </row>
    <row r="19" spans="2:7" ht="12.75">
      <c r="B19">
        <f t="shared" si="3"/>
        <v>14</v>
      </c>
      <c r="C19" s="3">
        <f t="shared" si="0"/>
        <v>1.0214940440376263</v>
      </c>
      <c r="D19" s="3">
        <f t="shared" si="1"/>
        <v>6.128964264225758</v>
      </c>
      <c r="E19" s="3">
        <f t="shared" si="2"/>
        <v>3.064482132112879</v>
      </c>
      <c r="G19" t="s">
        <v>70</v>
      </c>
    </row>
    <row r="20" spans="2:7" ht="12.75">
      <c r="B20">
        <f t="shared" si="3"/>
        <v>16</v>
      </c>
      <c r="C20" s="3">
        <f t="shared" si="0"/>
        <v>0.913922177732072</v>
      </c>
      <c r="D20" s="3">
        <f t="shared" si="1"/>
        <v>5.4835330663924315</v>
      </c>
      <c r="E20" s="3">
        <f t="shared" si="2"/>
        <v>2.7417665331962158</v>
      </c>
      <c r="G20" t="s">
        <v>71</v>
      </c>
    </row>
    <row r="21" spans="2:5" ht="12.75">
      <c r="B21">
        <f t="shared" si="3"/>
        <v>18</v>
      </c>
      <c r="C21" s="3">
        <f t="shared" si="0"/>
        <v>0.8284801630772222</v>
      </c>
      <c r="D21" s="3">
        <f t="shared" si="1"/>
        <v>4.970880978463333</v>
      </c>
      <c r="E21" s="3">
        <f t="shared" si="2"/>
        <v>2.4854404892316664</v>
      </c>
    </row>
    <row r="22" spans="2:7" ht="12.75">
      <c r="B22">
        <f t="shared" si="3"/>
        <v>20</v>
      </c>
      <c r="C22" s="3">
        <f t="shared" si="0"/>
        <v>0.7588411475210004</v>
      </c>
      <c r="D22" s="3">
        <f t="shared" si="1"/>
        <v>4.553046885126003</v>
      </c>
      <c r="E22" s="3">
        <f t="shared" si="2"/>
        <v>2.2765234425630014</v>
      </c>
      <c r="G22" t="s">
        <v>64</v>
      </c>
    </row>
    <row r="23" spans="2:5" ht="12.75">
      <c r="B23">
        <f t="shared" si="3"/>
        <v>22</v>
      </c>
      <c r="C23" s="3">
        <f t="shared" si="0"/>
        <v>0.7009014651237381</v>
      </c>
      <c r="D23" s="3">
        <f t="shared" si="1"/>
        <v>4.205408790742428</v>
      </c>
      <c r="E23" s="3">
        <f t="shared" si="2"/>
        <v>2.102704395371214</v>
      </c>
    </row>
    <row r="24" spans="2:10" ht="12.75">
      <c r="B24">
        <f t="shared" si="3"/>
        <v>24</v>
      </c>
      <c r="C24" s="3">
        <f t="shared" si="0"/>
        <v>0.651878264122753</v>
      </c>
      <c r="D24" s="3">
        <f t="shared" si="1"/>
        <v>3.9112695847365178</v>
      </c>
      <c r="E24" s="3">
        <f t="shared" si="2"/>
        <v>1.9556347923682589</v>
      </c>
      <c r="G24" t="s">
        <v>54</v>
      </c>
      <c r="I24">
        <f>12*(10/30)^(5/6)</f>
        <v>4.803747820704011</v>
      </c>
      <c r="J24">
        <f>I24/2</f>
        <v>2.4018739103520055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1664047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cneyman</cp:lastModifiedBy>
  <cp:lastPrinted>2005-11-05T21:26:24Z</cp:lastPrinted>
  <dcterms:created xsi:type="dcterms:W3CDTF">1996-10-14T23:33:28Z</dcterms:created>
  <dcterms:modified xsi:type="dcterms:W3CDTF">2006-04-12T03:23:17Z</dcterms:modified>
  <cp:category/>
  <cp:version/>
  <cp:contentType/>
  <cp:contentStatus/>
</cp:coreProperties>
</file>