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840" windowWidth="18510" windowHeight="12660" tabRatio="768" activeTab="3"/>
  </bookViews>
  <sheets>
    <sheet name="SCRD Requirements" sheetId="1" r:id="rId1"/>
    <sheet name="Cost Est (then-yr)" sheetId="2" r:id="rId2"/>
    <sheet name="Proposed Savings" sheetId="3" r:id="rId3"/>
    <sheet name="B2C Review tables" sheetId="4" r:id="rId4"/>
    <sheet name="Revised Est (then-yr)" sheetId="5" r:id="rId5"/>
    <sheet name="SDR Cost Estimate (FY08)" sheetId="6" r:id="rId6"/>
    <sheet name="NIR Imager ROM" sheetId="7" r:id="rId7"/>
    <sheet name="Vis Imager ROM" sheetId="8" r:id="rId8"/>
    <sheet name="Global" sheetId="9" r:id="rId9"/>
    <sheet name="AO System" sheetId="10" r:id="rId10"/>
    <sheet name="Laser Facility" sheetId="11" r:id="rId11"/>
    <sheet name="Science Instruments" sheetId="12" r:id="rId12"/>
  </sheets>
  <definedNames>
    <definedName name="_ftn1" localSheetId="0">'SCRD Requirements'!#REF!</definedName>
    <definedName name="_ftnref1" localSheetId="0">'SCRD Requirements'!#REF!</definedName>
  </definedNames>
  <calcPr fullCalcOnLoad="1"/>
</workbook>
</file>

<file path=xl/comments2.xml><?xml version="1.0" encoding="utf-8"?>
<comments xmlns="http://schemas.openxmlformats.org/spreadsheetml/2006/main">
  <authors>
    <author>peterw</author>
  </authors>
  <commentList>
    <comment ref="A13" authorId="0">
      <text>
        <r>
          <rPr>
            <b/>
            <sz val="8"/>
            <rFont val="Tahoma"/>
            <family val="0"/>
          </rPr>
          <t>peterw:</t>
        </r>
        <r>
          <rPr>
            <sz val="8"/>
            <rFont val="Tahoma"/>
            <family val="0"/>
          </rPr>
          <t xml:space="preserve">
Put 20% of total in as a place holder</t>
        </r>
      </text>
    </comment>
    <comment ref="A11" authorId="0">
      <text>
        <r>
          <rPr>
            <b/>
            <sz val="8"/>
            <rFont val="Tahoma"/>
            <family val="0"/>
          </rPr>
          <t>peterw:</t>
        </r>
        <r>
          <rPr>
            <sz val="8"/>
            <rFont val="Tahoma"/>
            <family val="0"/>
          </rPr>
          <t xml:space="preserve">
Used $189.7k for 1st yr &amp; $206.2k for 2nd yr from ATI proposal.
$4M total ROM from Peter until I get something better from Sean.
12/9/08 - increased from $4.3M to $5M per suggestion from Sean</t>
        </r>
      </text>
    </comment>
    <comment ref="A4" authorId="0">
      <text>
        <r>
          <rPr>
            <b/>
            <sz val="8"/>
            <rFont val="Tahoma"/>
            <family val="0"/>
          </rPr>
          <t>peterw:</t>
        </r>
        <r>
          <rPr>
            <sz val="8"/>
            <rFont val="Tahoma"/>
            <family val="0"/>
          </rPr>
          <t xml:space="preserve">
2 month slip vs SDR</t>
        </r>
      </text>
    </comment>
    <comment ref="A12" authorId="0">
      <text>
        <r>
          <rPr>
            <b/>
            <sz val="8"/>
            <rFont val="Tahoma"/>
            <family val="0"/>
          </rPr>
          <t>peterw:</t>
        </r>
        <r>
          <rPr>
            <sz val="8"/>
            <rFont val="Tahoma"/>
            <family val="0"/>
          </rPr>
          <t xml:space="preserve">
Slipped by 2 yr vs SA plan.</t>
        </r>
      </text>
    </comment>
    <comment ref="A10" authorId="0">
      <text>
        <r>
          <rPr>
            <b/>
            <sz val="8"/>
            <rFont val="Tahoma"/>
            <family val="0"/>
          </rPr>
          <t>peterw:</t>
        </r>
        <r>
          <rPr>
            <sz val="8"/>
            <rFont val="Tahoma"/>
            <family val="0"/>
          </rPr>
          <t xml:space="preserve">
Mostly shifted 1 yr later, except for $200k in FY09</t>
        </r>
      </text>
    </comment>
    <comment ref="A8" authorId="0">
      <text>
        <r>
          <rPr>
            <b/>
            <sz val="8"/>
            <rFont val="Tahoma"/>
            <family val="0"/>
          </rPr>
          <t>peterw:</t>
        </r>
        <r>
          <rPr>
            <sz val="8"/>
            <rFont val="Tahoma"/>
            <family val="0"/>
          </rPr>
          <t xml:space="preserve">
Increased NGAO contingency from 22 to 25%</t>
        </r>
      </text>
    </comment>
  </commentList>
</comments>
</file>

<file path=xl/comments5.xml><?xml version="1.0" encoding="utf-8"?>
<comments xmlns="http://schemas.openxmlformats.org/spreadsheetml/2006/main">
  <authors>
    <author>peterw</author>
  </authors>
  <commentList>
    <comment ref="A4" authorId="0">
      <text>
        <r>
          <rPr>
            <b/>
            <sz val="8"/>
            <rFont val="Tahoma"/>
            <family val="0"/>
          </rPr>
          <t>peterw:</t>
        </r>
        <r>
          <rPr>
            <sz val="8"/>
            <rFont val="Tahoma"/>
            <family val="0"/>
          </rPr>
          <t xml:space="preserve">
2 month slip vs SDR</t>
        </r>
      </text>
    </comment>
    <comment ref="A8" authorId="0">
      <text>
        <r>
          <rPr>
            <b/>
            <sz val="8"/>
            <rFont val="Tahoma"/>
            <family val="0"/>
          </rPr>
          <t>peterw:</t>
        </r>
        <r>
          <rPr>
            <sz val="8"/>
            <rFont val="Tahoma"/>
            <family val="0"/>
          </rPr>
          <t xml:space="preserve">
Increased NGAO contingency from 22 to 25%</t>
        </r>
      </text>
    </comment>
    <comment ref="A10" authorId="0">
      <text>
        <r>
          <rPr>
            <b/>
            <sz val="8"/>
            <rFont val="Tahoma"/>
            <family val="0"/>
          </rPr>
          <t>peterw:</t>
        </r>
        <r>
          <rPr>
            <sz val="8"/>
            <rFont val="Tahoma"/>
            <family val="0"/>
          </rPr>
          <t xml:space="preserve">
Mostly shifted 1 yr later, except for $200k in FY09</t>
        </r>
      </text>
    </comment>
    <comment ref="A11" authorId="0">
      <text>
        <r>
          <rPr>
            <b/>
            <sz val="8"/>
            <rFont val="Tahoma"/>
            <family val="0"/>
          </rPr>
          <t>peterw:</t>
        </r>
        <r>
          <rPr>
            <sz val="8"/>
            <rFont val="Tahoma"/>
            <family val="0"/>
          </rPr>
          <t xml:space="preserve">
Used $189.7k for 1st yr &amp; $206.2k for 2nd yr from ATI proposal.
$4M total ROM from Peter until I get something better from Sean.
12/9/08 - increased from $4.3M to $5M per suggestion from Sean</t>
        </r>
      </text>
    </comment>
    <comment ref="A12" authorId="0">
      <text>
        <r>
          <rPr>
            <b/>
            <sz val="8"/>
            <rFont val="Tahoma"/>
            <family val="0"/>
          </rPr>
          <t>peterw:</t>
        </r>
        <r>
          <rPr>
            <sz val="8"/>
            <rFont val="Tahoma"/>
            <family val="0"/>
          </rPr>
          <t xml:space="preserve">
Slipped by 2 yr vs SA plan.</t>
        </r>
      </text>
    </comment>
    <comment ref="A13" authorId="0">
      <text>
        <r>
          <rPr>
            <b/>
            <sz val="8"/>
            <rFont val="Tahoma"/>
            <family val="0"/>
          </rPr>
          <t>peterw:</t>
        </r>
        <r>
          <rPr>
            <sz val="8"/>
            <rFont val="Tahoma"/>
            <family val="0"/>
          </rPr>
          <t xml:space="preserve">
Put 20% of total in as a place holder</t>
        </r>
      </text>
    </comment>
  </commentList>
</comments>
</file>

<file path=xl/sharedStrings.xml><?xml version="1.0" encoding="utf-8"?>
<sst xmlns="http://schemas.openxmlformats.org/spreadsheetml/2006/main" count="1189" uniqueCount="922">
  <si>
    <t>No wide field science support; no on-sky narrow field optimization
~ nm rms</t>
  </si>
  <si>
    <t>Number of devices</t>
  </si>
  <si>
    <t>RTC</t>
  </si>
  <si>
    <t>LGS WFS dof reduced from 62 to 35; laser from 89 to 53; UTT from 9 to 7</t>
  </si>
  <si>
    <t>No. of subapertures</t>
  </si>
  <si>
    <t>?</t>
  </si>
  <si>
    <t>Optimized for above</t>
  </si>
  <si>
    <t>2 less WFS &amp; UTT; reduced subapertures &amp; configurations</t>
  </si>
  <si>
    <t>100 W (~11W / LGS)</t>
  </si>
  <si>
    <t>75 W (50W center)</t>
  </si>
  <si>
    <t>no</t>
  </si>
  <si>
    <t>yes</t>
  </si>
  <si>
    <t>NIR IFS</t>
  </si>
  <si>
    <t>6 channel multi d-IFS</t>
  </si>
  <si>
    <t>1 channel fixed IFS</t>
  </si>
  <si>
    <t>Extends to 800 nm</t>
  </si>
  <si>
    <t>Visible IFS</t>
  </si>
  <si>
    <t>OSIRIS</t>
  </si>
  <si>
    <t>Interferometer</t>
  </si>
  <si>
    <t>baseline</t>
  </si>
  <si>
    <t>KSP08; SDR</t>
  </si>
  <si>
    <t>To provide vis capability</t>
  </si>
  <si>
    <t>Impact</t>
  </si>
  <si>
    <t>Limited visible science capability; no multiplexing capability</t>
  </si>
  <si>
    <t>Provided by NIR IFS</t>
  </si>
  <si>
    <t>Cost; future upgrade?</t>
  </si>
  <si>
    <t>Science Case</t>
  </si>
  <si>
    <t>NIR Cam</t>
  </si>
  <si>
    <t>Vis Cam</t>
  </si>
  <si>
    <t>Vis IFS</t>
  </si>
  <si>
    <t>Galaxy assembly &amp; star formation</t>
  </si>
  <si>
    <t>GR effects in the Galactic Center</t>
  </si>
  <si>
    <t>Extrasolar planets</t>
  </si>
  <si>
    <t>Minor planets multiplicity</t>
  </si>
  <si>
    <t>MOSFIRE QE (from KAON 556)</t>
  </si>
  <si>
    <t>Wavelength</t>
  </si>
  <si>
    <t>MOSFIRE</t>
  </si>
  <si>
    <t>H-4RG goal</t>
  </si>
  <si>
    <t>e2V meas</t>
  </si>
  <si>
    <t>Cooling</t>
  </si>
  <si>
    <t>AO enclosure</t>
  </si>
  <si>
    <t>Science path optics</t>
  </si>
  <si>
    <t>Only science needs cold</t>
  </si>
  <si>
    <t>Truth WFS</t>
  </si>
  <si>
    <t>NIR after 1st relay
Vis after 2nd relay</t>
  </si>
  <si>
    <t>Vis after 1st relay</t>
  </si>
  <si>
    <t>Optical design</t>
  </si>
  <si>
    <t>2-tier</t>
  </si>
  <si>
    <t>1-tier</t>
  </si>
  <si>
    <t>2nd relay location</t>
  </si>
  <si>
    <t>reflection off dichroic</t>
  </si>
  <si>
    <t>transmitted, no dichroic</t>
  </si>
  <si>
    <t>NGS WFS</t>
  </si>
  <si>
    <t>ADC; 3 lenslets</t>
  </si>
  <si>
    <t>no ADC; 2 lenslets</t>
  </si>
  <si>
    <t>Few NGS in narrow field
Similar performance</t>
  </si>
  <si>
    <t>Removes 2nd tier cost</t>
  </si>
  <si>
    <t>no d-IFS; lower cost</t>
  </si>
  <si>
    <t>Sky Coverage</t>
  </si>
  <si>
    <t>Science Instruments</t>
  </si>
  <si>
    <t>Auxiliary Wavefront Sensing</t>
  </si>
  <si>
    <t>LGS Wavefront Sensing &amp; Correction</t>
  </si>
  <si>
    <t>Other</t>
  </si>
  <si>
    <t>ID #s</t>
  </si>
  <si>
    <t>10,11</t>
  </si>
  <si>
    <t>8,13</t>
  </si>
  <si>
    <t>7,9,14</t>
  </si>
  <si>
    <t>3,4,5,6,12,17</t>
  </si>
  <si>
    <t>15,16</t>
  </si>
  <si>
    <t>related to above</t>
  </si>
  <si>
    <t>Opto-mechanical Emissivity &amp; Throughput</t>
  </si>
  <si>
    <t>Target sample 1: Old field brown dwarfs out to distance of 20 pc.
Sample size several hundred, desired maximum survey duration 3 yrs (practical publication timescales).
[SCRD §2.4.3]</t>
  </si>
  <si>
    <t>Consider no ADCs for TT sensors.  Seems unlikely that no ADC will be adequate. (RD).  Conclusion (1/7/09): assume LOWFS ADCs.</t>
  </si>
  <si>
    <t>Could we get away without refrigeration if we do the following? (PW,DG,RD)
  Replace K-mirror w/ multiple vertical rotators (1 ea for HOWFS, LOWFS + NIR imager, NGS WFS, NIR IFU).
  Single relay w/ 48x48 or 56x56 DM instead of cascaded relay.
Science path could potentially have only ~4 high quality reflections. Could this meet &lt;30% unattenuated(sky+tel) spec?
Throughput to science instrument would be significantly higher (~4 AO surfaces vs ~18 including windows).
Throughput to LGS WFS would be higher (3 less surfaces; 7 less if include windows).
Higher DM &amp; rotator costs in exchange for no refrigeration &amp; fewer optics.
1/7/09: RD estimated that a high actuator count Xinetics DM with drivers would be $1M.  DG to evaluate emissivity &amp; thruput for this case.</t>
  </si>
  <si>
    <r>
      <t>Determine what dichroic switchyard savings can be made (DG, PW).  For example, cascade relay fed by 1st relay without a reflection; co-locating similar wavelength instruments.
1/7/09: Take multi-element decker out of cost estimate.</t>
    </r>
    <r>
      <rPr>
        <sz val="10"/>
        <color indexed="18"/>
        <rFont val="Arial"/>
        <family val="2"/>
      </rPr>
      <t xml:space="preserve">  </t>
    </r>
    <r>
      <rPr>
        <i/>
        <sz val="10"/>
        <color indexed="18"/>
        <rFont val="Arial"/>
        <family val="2"/>
      </rPr>
      <t>PW to do.</t>
    </r>
  </si>
  <si>
    <t>Target sample 2: Young (&lt;100 Myr) field brown dwarfs and low-mass stars to distance of 80 pc.  Sample size several hundred, desired maximum survey duration 3 yrs. [SCRD §2.4.3]</t>
  </si>
  <si>
    <t>Near infrared imager (possibly with coronagraph).  Survey primary at J- and H‑band.
Could benefit from dual- or multi-channel mode for rejecting speckle suppression, but not essential for this program.</t>
  </si>
  <si>
    <t>Possible dual- or multi-channel mode for speckle suppression.  Alternatively an IFU would help, provided it is Nyquist sampled at H and has FOV &gt; 1 arc sec.  Min. IFU spectral resolution is R~100.
May need IR ADC for imaging or coronagraphic observations (J or H bands); typical airmass is 1.7 for Ophiuchus.</t>
  </si>
  <si>
    <r>
      <t>Companion Sensitivity Sample 1: assume no companions beyond 15 AU. Targets at 20 to 30 pc; companion distribution peaks at 4 AU = 0.2"; this yields 2 M</t>
    </r>
    <r>
      <rPr>
        <vertAlign val="subscript"/>
        <sz val="12"/>
        <rFont val="Times New Roman"/>
        <family val="1"/>
      </rPr>
      <t>Jupiter</t>
    </r>
    <r>
      <rPr>
        <sz val="12"/>
        <rFont val="Times New Roman"/>
        <family val="1"/>
      </rPr>
      <t xml:space="preserve"> planets at a 0.2" separation with contrast </t>
    </r>
    <r>
      <rPr>
        <sz val="12"/>
        <rFont val="Symbol"/>
        <family val="1"/>
      </rPr>
      <t>Ä</t>
    </r>
    <r>
      <rPr>
        <sz val="12"/>
        <rFont val="Times New Roman"/>
        <family val="1"/>
      </rPr>
      <t>H = 10.
Planets have H=24, J=24.7.  Parent stars are 2MASS Brown Dwarfs with H=14.
[SCRD §2.4.2.1]</t>
    </r>
  </si>
  <si>
    <r>
      <t xml:space="preserve">Inner working angle of 6 </t>
    </r>
    <r>
      <rPr>
        <sz val="12"/>
        <rFont val="MS Mincho"/>
        <family val="3"/>
      </rPr>
      <t>λ</t>
    </r>
    <r>
      <rPr>
        <sz val="12"/>
        <rFont val="Times New Roman"/>
        <family val="1"/>
      </rPr>
      <t>/D general-purpose coronagraph with a contrast of 10</t>
    </r>
    <r>
      <rPr>
        <vertAlign val="superscript"/>
        <sz val="12"/>
        <rFont val="Times New Roman"/>
        <family val="1"/>
      </rPr>
      <t>-6</t>
    </r>
    <r>
      <rPr>
        <sz val="12"/>
        <rFont val="Times New Roman"/>
        <family val="1"/>
      </rPr>
      <t>.  Detailed design of coronagraph will take place during PDR stage.
Speckle suppression capability (multi-spectral imaging); dual-channel imager; stability of static errors ~5nm per sqrt(hr) for PSF subtraction or ADI.</t>
    </r>
  </si>
  <si>
    <t>Companion Sensitivity Sample 2: Parent stars are T Tauri, J=11.  A 1 MJupiter planet is at 300K, J=22, (2 MJupiter is J=19.5). This distribution could have a wider distribution of binaries
a) 0.1" separation, ÄJ = 8.5 (2MJ)
b) 0.2" separation, ÄJ = 11 (1MJ)
c) Goal ÄJ   = 11 at 0.1" separation (1MJ)
based on properties of the planets you want to look for.
[SCRD §2.4.2.2]</t>
  </si>
  <si>
    <r>
      <t xml:space="preserve">a) 6 </t>
    </r>
    <r>
      <rPr>
        <sz val="12"/>
        <rFont val="MS Mincho"/>
        <family val="3"/>
      </rPr>
      <t>λ</t>
    </r>
    <r>
      <rPr>
        <sz val="12"/>
        <rFont val="Times New Roman"/>
        <family val="1"/>
      </rPr>
      <t>/D general-purpose coronagraph
b) 6 λ/D general-purpose coronagraph
c) (Goal) Not achievable with a general purpose coronagraph. May need small inner working distance (2</t>
    </r>
    <r>
      <rPr>
        <sz val="12"/>
        <rFont val="Symbol"/>
        <family val="1"/>
      </rPr>
      <t>l</t>
    </r>
    <r>
      <rPr>
        <sz val="12"/>
        <rFont val="Times New Roman"/>
        <family val="1"/>
      </rPr>
      <t xml:space="preserve">/D) coronagraph </t>
    </r>
    <r>
      <rPr>
        <i/>
        <sz val="12"/>
        <rFont val="Times New Roman"/>
        <family val="1"/>
      </rPr>
      <t>(non-redundant aperture masking is an interesting approach for this, limits currently unknown, probably requires low read noise in science detector)</t>
    </r>
    <r>
      <rPr>
        <sz val="12"/>
        <rFont val="Times New Roman"/>
        <family val="1"/>
      </rPr>
      <t>.
Speckle suppression capability (multi-spectral imaging); dual-channel imager; stability of static errors ~5nm per sqrt(hr) for PSF subtraction or ADI.</t>
    </r>
  </si>
  <si>
    <r>
      <t>Goal: Companion Sensitivity Case 3: at 5 Myr , 1 M</t>
    </r>
    <r>
      <rPr>
        <vertAlign val="subscript"/>
        <sz val="12"/>
        <rFont val="Times New Roman"/>
        <family val="1"/>
      </rPr>
      <t>sun</t>
    </r>
    <r>
      <rPr>
        <sz val="12"/>
        <rFont val="Times New Roman"/>
        <family val="1"/>
      </rPr>
      <t xml:space="preserve"> primary;
a) goal ÄJ = 13.5 to see 1 MJupiter or 
b) goal ÄJ = 9 for 5 MJupiter. 0.07" is needed. 
For apparent magnitudes of parent stars see 4.3</t>
    </r>
  </si>
  <si>
    <r>
      <t>Sensitivity</t>
    </r>
    <r>
      <rPr>
        <sz val="12"/>
        <rFont val="Times New Roman"/>
        <family val="1"/>
      </rPr>
      <t xml:space="preserve"> of H=25 for 5-sigma detection in 20 minutes, at 1 arcsec separation from primary star.  (Brown dwarf targets are limited by sky background at larger angles, of order ~1 arcsec). [SCRD §2.4.5.9]</t>
    </r>
  </si>
  <si>
    <r>
      <t xml:space="preserve">H-band relative </t>
    </r>
    <r>
      <rPr>
        <i/>
        <sz val="12"/>
        <rFont val="Times New Roman"/>
        <family val="1"/>
      </rPr>
      <t xml:space="preserve">photometry </t>
    </r>
    <r>
      <rPr>
        <sz val="12"/>
        <rFont val="Times New Roman"/>
        <family val="1"/>
      </rPr>
      <t>(between primary and companion):  accuracy ≤ 0.1 mag for recovered companions (to estimate mass of the companion); goal of measuring colors to 0.05 mags (0.03 mag per band) to measure temperatures and surface gravities sufficiently accurately (to ~10%). [SCRD §2.4.5.4]</t>
    </r>
  </si>
  <si>
    <t>Ways to do this:
b) Induced ghost image method.  Needs a wire grating ahead of the coronagraph, or use DM to induce ghost images.  (papers by Marois et al. 2006, ApJ, 647, 612; Sivaramakrishnan &amp; Oppenheimer 2006, ApJ, 647, 620).
a) Position stability requirement for star behind coronagraph (e.g., stable to 0.5 or 2 mas over 10 min.).</t>
  </si>
  <si>
    <t>Stability of distortion as required for 0.5 or 2 mas.
Also want ghost images of primary (as for photometry #4.8) in order to locate it accurately relative to planet.</t>
  </si>
  <si>
    <t xml:space="preserve">Requirement: Astrometric precision 2 mas (~1/10 PSF) relative between primary and planet, for initial rejection of background objects. [SCRD §2.4.5.5]
Goal: For measuring orbits of nearby field objects, want 0.5 mas to measure masses to 10%.  Note this gives you mass of primary star.
Could be combined with Doppler measurements if that’s practical for the brighter objects.  </t>
  </si>
  <si>
    <t>4.10</t>
  </si>
  <si>
    <t>Efficiency: 20 targets per night (30 goal)
[SCRD §2.4.6.2]</t>
  </si>
  <si>
    <t>AO system must be able to absolutely steer objects so they land on the coronagraph.  This implies 5 mas reproducibility of field steering –or lock the tip/tilt to this accuracy relative to coronagraph field stop.
Final requirement will depend on the details of the coronagraph (5 mas is consistent with GPI modeling).</t>
  </si>
  <si>
    <t>Observing wavelengths JHK bands (strong goal: Y and z for companion temperature characterization) [SCRD §2.4.4, §2.4.7]</t>
  </si>
  <si>
    <t>Field of view: must see companions at 100 AU scales at 30 pc (goal 20 pc) [SCRD §2.4.5.3]</t>
  </si>
  <si>
    <t>Characterization of companion [SCRD §2.4.4]</t>
  </si>
  <si>
    <t>a) R ~150 IFU, sub-Nyquist sampling spectrograph, or if above not available,
b) Nyquist spatial sampling IFU, R ~ 4,000, OH suppressing).
c) or narrow-band filters.
All must be sensitive to J = 22 or 23 in ~3 hrs.</t>
  </si>
  <si>
    <t>Sky Coverage &gt;30%.  (Survey several hundred Brown Dwarfs to H=15 of the ~1000 known targets.) [SCRD §2.4.7]</t>
  </si>
  <si>
    <t>Asteroid Companions Survey</t>
  </si>
  <si>
    <r>
      <t xml:space="preserve">The </t>
    </r>
    <r>
      <rPr>
        <i/>
        <sz val="12"/>
        <color indexed="8"/>
        <rFont val="Times New Roman"/>
        <family val="1"/>
      </rPr>
      <t>companion sensitivity</t>
    </r>
    <r>
      <rPr>
        <sz val="12"/>
        <color indexed="8"/>
        <rFont val="Times New Roman"/>
        <family val="1"/>
      </rPr>
      <t xml:space="preserve"> shall be </t>
    </r>
    <r>
      <rPr>
        <sz val="12"/>
        <color indexed="8"/>
        <rFont val="Symbol"/>
        <family val="1"/>
      </rPr>
      <t>Ä</t>
    </r>
    <r>
      <rPr>
        <sz val="12"/>
        <color indexed="8"/>
        <rFont val="Times New Roman"/>
        <family val="1"/>
      </rPr>
      <t>J ≥ 5.5 mag at 0.5” separation for a V ≤ 17 asteroid (J≤ 15.9) (asteroid size &lt; 0.2”) with a proper motion of ≤ 50 arcsec/hour [ScRD §2.5.4.6]</t>
    </r>
  </si>
  <si>
    <t>The asteroid can be used as tip/tilt guidestar (proper motion of ≤ 50 arcsec/hour). The AO system has sufficient field of view for objects and for their seeing disks (&gt;3 arcsec, see # 5.6). The tip-tilt residual error will be less than 10 mas (limited by resolved primary) while guiding on one V=17 (J =15.9) object with relative motion of 50 arcsec/hr (14 mas/sec). The AO system has sufficient Strehl to achieve this contrast ratio and sensitivity in 15 min exposure time.  KAON 529 suggests that 170nm wavefront error will suffice.</t>
  </si>
  <si>
    <t>Near-IR imager</t>
  </si>
  <si>
    <r>
      <t xml:space="preserve">J-band relative </t>
    </r>
    <r>
      <rPr>
        <i/>
        <sz val="12"/>
        <color indexed="8"/>
        <rFont val="Times New Roman"/>
        <family val="1"/>
      </rPr>
      <t>photometric</t>
    </r>
    <r>
      <rPr>
        <sz val="12"/>
        <color indexed="8"/>
        <rFont val="Times New Roman"/>
        <family val="1"/>
      </rPr>
      <t xml:space="preserve"> accuracy (between primary and companion) of 5% at 0.6” for </t>
    </r>
    <r>
      <rPr>
        <sz val="12"/>
        <color indexed="8"/>
        <rFont val="Symbol"/>
        <family val="1"/>
      </rPr>
      <t>Ä</t>
    </r>
    <r>
      <rPr>
        <sz val="12"/>
        <color indexed="8"/>
        <rFont val="Times New Roman"/>
        <family val="1"/>
      </rPr>
      <t>J = 3 for a V ≤ 17 (J≤ 15.9) asteroid (asteroid size &lt; 0.2”) with a proper motion of ≤ 50 arcsec/hour [ScRD §2.5.4.4]</t>
    </r>
  </si>
  <si>
    <t>Near- IR imager (no coronagraph because many asteroids will be resolved)</t>
  </si>
  <si>
    <t>Target sample ≥ 300 asteroids in ≤ 4 yr. [SCRD §2.5.3 ¶4] Leads to requirement of ≥ 25 targets per 11 hour night.  [SCRD §2.5.5.2]</t>
  </si>
  <si>
    <t>Assumes 3 good nights per year.  Needs high observing efficiency: Able to slew to new target and complete the entire observation within 26 minutes on average.</t>
  </si>
  <si>
    <t>Observing wavelengths I through H bands, for optimum companion sensitivity [Source: KAON 529].  J band is best when seeing is good.  H band could be used when seeing is poor. [SCRD 2.5.6.6]</t>
  </si>
  <si>
    <t>Visible and IR imagers.</t>
  </si>
  <si>
    <r>
      <t xml:space="preserve">Spatial sampling ≤ Nyquist at each observing wavelength. [SCRD §2.5.6.4]  Pixel sampling of </t>
    </r>
    <r>
      <rPr>
        <sz val="12"/>
        <color indexed="8"/>
        <rFont val="Symbol"/>
        <family val="1"/>
      </rPr>
      <t>l</t>
    </r>
    <r>
      <rPr>
        <sz val="12"/>
        <color indexed="8"/>
        <rFont val="Times New Roman"/>
        <family val="1"/>
      </rPr>
      <t>/3D optimal for photometry and astrometry [KAON 529].</t>
    </r>
  </si>
  <si>
    <r>
      <t xml:space="preserve">Spatial sampling ≤ Nyquist at the observing wavelength.  Pixel sampling of </t>
    </r>
    <r>
      <rPr>
        <sz val="12"/>
        <color indexed="8"/>
        <rFont val="Symbol"/>
        <family val="1"/>
      </rPr>
      <t>l</t>
    </r>
    <r>
      <rPr>
        <sz val="12"/>
        <color indexed="8"/>
        <rFont val="Times New Roman"/>
        <family val="1"/>
      </rPr>
      <t xml:space="preserve">/3D is optimal at J through H-bands, and </t>
    </r>
    <r>
      <rPr>
        <sz val="12"/>
        <color indexed="8"/>
        <rFont val="Symbol"/>
        <family val="1"/>
      </rPr>
      <t>l</t>
    </r>
    <r>
      <rPr>
        <sz val="12"/>
        <color indexed="8"/>
        <rFont val="Times New Roman"/>
        <family val="1"/>
      </rPr>
      <t>/2D at I through z-band for both photometry and astrometry [see KAON 529].</t>
    </r>
  </si>
  <si>
    <t>Field of view ≥ 3” diameter [SCRD §2.5.6.2]</t>
  </si>
  <si>
    <t>AO system passes a &gt;3” unvignetted field of view</t>
  </si>
  <si>
    <t>Imager fields of view ≥ 3”</t>
  </si>
  <si>
    <t>The following observing preparation tools are required: guide star finder for asteroids too faint to use as the only TT star, PSF simulation as function of wavelength and seeing conditions.</t>
  </si>
  <si>
    <t>The following data products are required: Access to archive with proper identification in World Coordinate System (to within 1 arc sec or better) and with associated calibrated PSF.</t>
  </si>
  <si>
    <t xml:space="preserve">Calibrated PSF capability.  Accuracy requirement will be discussed in future releases of the SCRD document.  Ability to collect AO telemetry data to support the required PSF calibration.  </t>
  </si>
  <si>
    <t>FITS header system capable of handling non-sidereal offsets in reporting object coordinates in the World Coordinate System to within 1 arc sec or better.</t>
  </si>
  <si>
    <t>Observing requirements: Observer present either in person or via remote observing rooms, because real-time observing sequence determination is needed.</t>
  </si>
  <si>
    <t xml:space="preserve">Classical observing mode or service mode with active observer participation.  Remote observing capabilities must allow frequent real-time decisions by observer. </t>
  </si>
  <si>
    <t>Asteroid Companions Orbit Determination</t>
  </si>
  <si>
    <t>Companion sensitivity in the near-IR. Same as #5.1</t>
  </si>
  <si>
    <t>Same as #5.1</t>
  </si>
  <si>
    <t>Near-IR imager.</t>
  </si>
  <si>
    <r>
      <t xml:space="preserve">The </t>
    </r>
    <r>
      <rPr>
        <i/>
        <sz val="12"/>
        <rFont val="Times New Roman"/>
        <family val="1"/>
      </rPr>
      <t xml:space="preserve">companion sensitivity in the visible </t>
    </r>
    <r>
      <rPr>
        <sz val="12"/>
        <rFont val="Times New Roman"/>
        <family val="1"/>
      </rPr>
      <t xml:space="preserve">shall be </t>
    </r>
    <r>
      <rPr>
        <sz val="12"/>
        <rFont val="Symbol"/>
        <family val="1"/>
      </rPr>
      <t>Ä</t>
    </r>
    <r>
      <rPr>
        <sz val="12"/>
        <rFont val="Times New Roman"/>
        <family val="1"/>
      </rPr>
      <t>I ≥ 7.5 mag at 0.75” separation for a V ≤ 17 (I ≤ 16.1) asteroid (asteroid size &lt; 0.2”) with a proper motion of ≤ 50 arcsec/hour [ScRD §2.5.4.6]</t>
    </r>
  </si>
  <si>
    <t>Visible Imager.  Optimum visible wavelength is I through z bands per KAON 529.  Note that if the near-IR imager extends down to I band, a separate visible imager would not be needed for this science case.</t>
  </si>
  <si>
    <r>
      <t>Photometric accuracy</t>
    </r>
    <r>
      <rPr>
        <sz val="12"/>
        <rFont val="Times New Roman"/>
        <family val="1"/>
      </rPr>
      <t>: Same as #5.2</t>
    </r>
  </si>
  <si>
    <t>Same as #5.2</t>
  </si>
  <si>
    <r>
      <t xml:space="preserve">I-band relative </t>
    </r>
    <r>
      <rPr>
        <i/>
        <sz val="12"/>
        <rFont val="Times New Roman"/>
        <family val="1"/>
      </rPr>
      <t>astrometric</t>
    </r>
    <r>
      <rPr>
        <sz val="12"/>
        <rFont val="Times New Roman"/>
        <family val="1"/>
      </rPr>
      <t xml:space="preserve"> accuracy of ≤ 1.5 mas for a V ≤ 17 (J ≤ 15.9) asteroid (asteroid size &lt; 0.2”) with a proper motion of ≤ 50 arcsec/hour [SCRD §2.5.4.5]</t>
    </r>
  </si>
  <si>
    <t>Non-sidereal tracking accuracy sufficiently small to achieve I-band astrometric accuracy ≤ 1.5 mas for a V ≤ 17 (J ≤ 15.9) asteroid with a proper motion of ≤ 50 arcsec/hour</t>
  </si>
  <si>
    <r>
      <t xml:space="preserve">Uncalibrated detector </t>
    </r>
    <r>
      <rPr>
        <i/>
        <sz val="12"/>
        <rFont val="Times New Roman"/>
        <family val="1"/>
      </rPr>
      <t>distortion</t>
    </r>
    <r>
      <rPr>
        <sz val="12"/>
        <rFont val="Times New Roman"/>
        <family val="1"/>
      </rPr>
      <t xml:space="preserve"> sufficiently small to achieve I-band astrometric accuracy ≤ 1.5 mas for a V ≤ 17 (J ≤ 15.9) asteroid</t>
    </r>
  </si>
  <si>
    <t>Target sample size of ≥ 100 asteroids in ≤ 3 years. [SCRD §2.5.3 ¶4]  Leads to requirement of ≥ 25 targets in an 11 hour night. [SCRD §2.5.5.2]</t>
  </si>
  <si>
    <t>Needs high observing efficiency: Able to slew to new target and complete the entire observation within 25 minutes on average.  Will generally only observe at one wavelength (the one that gives the best astrometric information).</t>
  </si>
  <si>
    <t>Observing wavelengths =  I, z, J, H bands. (Note: R-band may become a future requirement if R-band Strehl &gt; 15%) [SCRD §2.5.6.6]</t>
  </si>
  <si>
    <t>Imager(s) covering range I, z, J, H bands.  Note that if the near-IR imager extends down to I band, a separate visible imager would not be needed for this science case.</t>
  </si>
  <si>
    <t>Spatial sampling same as #5.5</t>
  </si>
  <si>
    <t>Same as #5.5</t>
  </si>
  <si>
    <t>Same as #5.6</t>
  </si>
  <si>
    <t>Same as #5.7</t>
  </si>
  <si>
    <t>Same as #5.8</t>
  </si>
  <si>
    <t>See #5.8</t>
  </si>
  <si>
    <t>Observing requirements: 7 epochs per target [SCRD §2.5.3 ¶4]</t>
  </si>
  <si>
    <t>Observing model needs to accommodate split nights or some level of flexibility.</t>
  </si>
  <si>
    <t>6.10</t>
  </si>
  <si>
    <t>QSO Host galaxies</t>
  </si>
  <si>
    <t>Sky coverage fraction &gt;30% for 50% enclosed energy within 0.05 arc sec at J band</t>
  </si>
  <si>
    <t>Assume lasers are on the elevation moving part of the telescope</t>
  </si>
  <si>
    <t>Can't afford within build-to-cost.
Extend NIR imager coverage down to 850 nm.</t>
  </si>
  <si>
    <t>Savings in project management &amp; systems engineering</t>
  </si>
  <si>
    <t>The above savings amount to an ~ $4M cost reduction on the NGAO system or ~7.5% of the cost.
It might be reasonable to assume we can reduce the management &amp; systems engineering costs at some level due to the resulting reduced complexity.</t>
  </si>
  <si>
    <t>$7.56M budgeted for project management &amp; systems engineering.
Assume a 3% reduction in this amount.
Inflate to FY10 since includes design work.</t>
  </si>
  <si>
    <t>$3727k in then-year dollars + 20% contingency.
Add $400k in then-year dollars + 20% contingency of $400k to NIR imager.</t>
  </si>
  <si>
    <t>Required wavelength range: 0.85 – 2.4 microns</t>
  </si>
  <si>
    <t>Near IR IFU spectrograph; near IR and visible imagers.</t>
  </si>
  <si>
    <t>Required spatial resolution will be discussed in a future release of this document.  Will be determined by considerations of PSF subtraction accuracy.  Hence required resolution will be higher than in the high-z galaxy science case.</t>
  </si>
  <si>
    <t>Desirable to use central QSO point source as one of the tip-tilt reference stars, if possible.</t>
  </si>
  <si>
    <t>PSF must be oversampled in order to achieve required subtraction accuracy.  Quantitative requirements will be discussed in future releases of the SCRD.</t>
  </si>
  <si>
    <t>Photometric accuracy and PSF knowledge required for subtracting the central point source in order to characterize the host galaxy must be adequate to obtain host galaxy colors to 20% for a contrast ratio of up to 200 at a distance of ½ arc sec from the point source.</t>
  </si>
  <si>
    <t>Requires excellent PSF stability and knowledge; future releases of the SCRD will discuss the quantitative requirements.  Will have implications for required AO wavefront error, AO stability, and required signal to noise ratio.</t>
  </si>
  <si>
    <t>Required calibration stability and accuracy, zero-point stability and knowledge, quality of flat-fielding will be discussed quantitatively in future releases of the SCRD.  PSF must be oversampled in order to achieve required subtraction accuracy.  Quantitative requirements will be discussed in future releases of the SCRD.</t>
  </si>
  <si>
    <t xml:space="preserve">SNR for spatially resolved spectroscopy of the host galaxy will be determined by accuracy of PSF subtraction and by minimization of scattered light from the central point source.  </t>
  </si>
  <si>
    <t>May benefit from specialized coronagraph design to block light from central point source.</t>
  </si>
  <si>
    <t>Required observation planning tools (e.g. guide stars); PSF simulation tools to plan for whether PSF subtraction will be good enough to see the host galaxy</t>
  </si>
  <si>
    <t>8a.1</t>
  </si>
  <si>
    <t xml:space="preserve">Sensitivity: SNR ≥ 3 per pixel (100 per source) for a z = 1 – 2 galaxy in an integration time ≤ 1/2 hour.  </t>
  </si>
  <si>
    <t>Background due to emissivity less than 30% of unattenuated (sky + tel).</t>
  </si>
  <si>
    <t>8a.2</t>
  </si>
  <si>
    <t>Target sample size of ≥ 200 galaxies, with density on the sky of 10 per square degree.  Survey time ~ 3 years.</t>
  </si>
  <si>
    <t>Overhead less than 10 min between targets.</t>
  </si>
  <si>
    <t>10 per square degree implies that you will only be able to observe one target at a time – average of 1 in every ~19’x19’ patch.</t>
  </si>
  <si>
    <t>8a.3</t>
  </si>
  <si>
    <t>Observing wavelengths =  I through K (to 2.4 µm).  Emphasis is on shorter wavelengths.   Thermal part of K band less important. [SCRD §3.2.6.5]</t>
  </si>
  <si>
    <t>8a.4</t>
  </si>
  <si>
    <t>Spatial resolution better than 50 mas at J band, for 30% sky coverage.</t>
  </si>
  <si>
    <t>Need a good model of the PSF or a simultaneous image of a PSF star.  Need a figure of merit for goodness of the PSF: how well the model fits the “real” PSF in two dimensions.  Will  quantify in future releases of the SCRD.</t>
  </si>
  <si>
    <t>Nyquist sampling of pixels at each wavelength.</t>
  </si>
  <si>
    <t>8a.5</t>
  </si>
  <si>
    <t>Field of view &gt; 15” diameter for survey.  Bigger is better.  Some degradation between center and edge of field is tolerable.  Will  quantify in future releases of the SCRD. [SCRD §3.2.6.2]</t>
  </si>
  <si>
    <t>8a.6</t>
  </si>
  <si>
    <t>Relative photometry to ≤ 0.1 mag for observations during a single night [SCRD §3.2.4.4]</t>
  </si>
  <si>
    <t>8a.7</t>
  </si>
  <si>
    <t>Absolute photometry ≤ 0.3 mag [SCRD §3.2.4.4]</t>
  </si>
  <si>
    <t>8a.8</t>
  </si>
  <si>
    <t>Sky coverage at least 30% with enclosed energy radius within 0.07 arc sec at H or K. [SCRD §3.2.4.9]</t>
  </si>
  <si>
    <t>8a.9</t>
  </si>
  <si>
    <t>Dithering and offset considerations: 1) Initially should be able to center a galaxy to ≤ 10% of science field of view.  2) Should know the relative position of the galaxy after a dither to ≤ 20% of pixel size.</t>
  </si>
  <si>
    <t>8a.10</t>
  </si>
  <si>
    <t>8a.11</t>
  </si>
  <si>
    <t>The following data products are required: accurate distortion map (to 1% of the size of the galaxy, or 0.01 arc sec rms)</t>
  </si>
  <si>
    <t>8a</t>
  </si>
  <si>
    <t>Distant galaxies lensed by galaxies - spectroscopic studies</t>
  </si>
  <si>
    <t>Distant galaxies lensed by galaxies - imaging studies</t>
  </si>
  <si>
    <t>8b.1</t>
  </si>
  <si>
    <t>SNR ≥ 10 for a z = 1 – 2 galaxy in an integration time ≤ 3 hours for a Gaussian width 20 km/sec Gaussian width (50 km/sec FWHM) with a spatial resolution of 50 mas</t>
  </si>
  <si>
    <t>R ~ 5000 (or whatever is needed to achieve 20 km/sec sigma on these targets)</t>
  </si>
  <si>
    <t>8b.2</t>
  </si>
  <si>
    <t>Target sample size of ≥ 50 galaxies, with density on the sky of 10 per square degree.  Survey time ~ 3 years.</t>
  </si>
  <si>
    <t>Number of IFUs: at least one, plus preferably one to monitor the PSF and one to monitor the sky.  The extra two IFUs could be dispensed with if there were other ways to monitor the PSF and the sky background.</t>
  </si>
  <si>
    <t>8b.3</t>
  </si>
  <si>
    <t>Observing wavelengths =  J, H and K (to 2.4 µm) required, with emphasis on J band.   Goal: also use z and I bands.  [SCRD §3.2.6.5]</t>
  </si>
  <si>
    <t>8b.4</t>
  </si>
  <si>
    <t>Spectral resolution: whatever is needed to get 20 km/sec radial velocity Gaussian sigma</t>
  </si>
  <si>
    <t>8b.5</t>
  </si>
  <si>
    <t>Spatial resolution 50 mas at J band</t>
  </si>
  <si>
    <t>8b.6</t>
  </si>
  <si>
    <t>Velocity determined to ≤ 20 km/sec Gaussian sigma for spatial resolutions of 50  mas</t>
  </si>
  <si>
    <t>Required level of PSF knowledge will be assessed in future releases of the SCRD.</t>
  </si>
  <si>
    <t>8b.7</t>
  </si>
  <si>
    <r>
      <t xml:space="preserve">Field of view: Typical lens is 2 to 6 arc sec diameter. </t>
    </r>
    <r>
      <rPr>
        <sz val="12"/>
        <color indexed="8"/>
        <rFont val="Times New Roman"/>
        <family val="1"/>
      </rPr>
      <t>For IFU fields of view smaller than the lens size, one would use mosaicing.  Desirable to</t>
    </r>
    <r>
      <rPr>
        <sz val="12"/>
        <rFont val="Times New Roman"/>
        <family val="1"/>
      </rPr>
      <t xml:space="preserve"> take in blank sky in addition to the lens (if possible).  Requirement:  FOV </t>
    </r>
    <r>
      <rPr>
        <sz val="12"/>
        <rFont val="Symbol"/>
        <family val="1"/>
      </rPr>
      <t>³</t>
    </r>
    <r>
      <rPr>
        <sz val="12"/>
        <rFont val="Times New Roman"/>
        <family val="1"/>
      </rPr>
      <t xml:space="preserve"> 3” diameter.  Goal: </t>
    </r>
    <r>
      <rPr>
        <sz val="12"/>
        <rFont val="Symbol"/>
        <family val="1"/>
      </rPr>
      <t>³</t>
    </r>
    <r>
      <rPr>
        <sz val="12"/>
        <rFont val="Times New Roman"/>
        <family val="1"/>
      </rPr>
      <t xml:space="preserve"> 4” diameter. [SCRD §3.2.6.2]</t>
    </r>
  </si>
  <si>
    <r>
      <t xml:space="preserve">Requirement:  IFU FOV </t>
    </r>
    <r>
      <rPr>
        <sz val="12"/>
        <rFont val="Symbol"/>
        <family val="1"/>
      </rPr>
      <t>³</t>
    </r>
    <r>
      <rPr>
        <sz val="12"/>
        <rFont val="Times New Roman"/>
        <family val="1"/>
      </rPr>
      <t xml:space="preserve"> 3” diameter.  Goal: </t>
    </r>
    <r>
      <rPr>
        <sz val="12"/>
        <rFont val="Symbol"/>
        <family val="1"/>
      </rPr>
      <t>³</t>
    </r>
    <r>
      <rPr>
        <sz val="12"/>
        <rFont val="Times New Roman"/>
        <family val="1"/>
      </rPr>
      <t xml:space="preserve"> 4” diameter.</t>
    </r>
  </si>
  <si>
    <t>8b.8</t>
  </si>
  <si>
    <t>Simultaneous sky background measurements</t>
  </si>
  <si>
    <t>Preferably sky determination within the field of view of the IFU.  Less preferably, through use of offsetting to sky or via a separate IFU looking at sky.</t>
  </si>
  <si>
    <t>8b.9</t>
  </si>
  <si>
    <t>8b.10</t>
  </si>
  <si>
    <t>8b.11</t>
  </si>
  <si>
    <t>Sky coverage at least 30% with enclosed energy radius within 50 mas at J band.  [SCRD §3.2.4.9]</t>
  </si>
  <si>
    <t>8b.12</t>
  </si>
  <si>
    <t>Dithering and offset considerations: 1) Initially should be able to center a galaxy to ≤ 10% of science field of view.  2) Should know the relative position of the galaxy after a dither to ≤ 20% of spaxel size.</t>
  </si>
  <si>
    <t>8b.13</t>
  </si>
  <si>
    <t>8b.14</t>
  </si>
  <si>
    <t>8b.15</t>
  </si>
  <si>
    <t>8b</t>
  </si>
  <si>
    <t>Asteroid size, share &amp; composition</t>
  </si>
  <si>
    <t>Target sample size of ≥ 300 asteroids in ≤ 3yrs years. &lt; 10 targets in an 11 hour night [SCRD §3.6.3]</t>
  </si>
  <si>
    <t>#6.5 is stricter requirement.</t>
  </si>
  <si>
    <t>Observing wavelengths 0.7 – 1.0 µm.  Strong preference for R band because optimum to obtain shape of asteroid. [SCRD §3.6.6.6]</t>
  </si>
  <si>
    <t>AO system must pass 0.7 to 1.0 micron wavelengths</t>
  </si>
  <si>
    <t>Imagers (R through J band) with narrow-band filters or slit spectrograph (R~100), or possibly visible IFU (R~100).</t>
  </si>
  <si>
    <t>Field of view ≥ 3” diameter [SCRD §3.6.6.2]</t>
  </si>
  <si>
    <t>Same as #6.8</t>
  </si>
  <si>
    <r>
      <t xml:space="preserve">Ability to measure the spectral slope with R ~ 100 at 0.85-1.0 </t>
    </r>
    <r>
      <rPr>
        <sz val="12"/>
        <rFont val="Symbol"/>
        <family val="1"/>
      </rPr>
      <t>m</t>
    </r>
    <r>
      <rPr>
        <sz val="12"/>
        <rFont val="Times New Roman"/>
        <family val="1"/>
      </rPr>
      <t>m [SCRD §3.6.6.7]</t>
    </r>
  </si>
  <si>
    <r>
      <t>Ability to measure the SO</t>
    </r>
    <r>
      <rPr>
        <vertAlign val="subscript"/>
        <sz val="12"/>
        <rFont val="Times New Roman"/>
        <family val="1"/>
      </rPr>
      <t>2</t>
    </r>
    <r>
      <rPr>
        <sz val="12"/>
        <rFont val="Times New Roman"/>
        <family val="1"/>
      </rPr>
      <t xml:space="preserve"> frost bands at R=1000 (R=5000 is acceptable) at 1.98 and 2.12 </t>
    </r>
    <r>
      <rPr>
        <sz val="12"/>
        <rFont val="Symbol"/>
        <family val="1"/>
      </rPr>
      <t>m</t>
    </r>
    <r>
      <rPr>
        <sz val="12"/>
        <rFont val="Times New Roman"/>
        <family val="1"/>
      </rPr>
      <t>m,  crystalline ice band at 1.65 microns. [SCRD §3.6.6.7]</t>
    </r>
  </si>
  <si>
    <t>Spectroscopic imaging at R~1000 to 5000 in the H and K bands.</t>
  </si>
  <si>
    <t>Gas Giants</t>
  </si>
  <si>
    <r>
      <t>Capability of tracking a moving target</t>
    </r>
    <r>
      <rPr>
        <sz val="12"/>
        <rFont val="Times New Roman"/>
        <family val="1"/>
      </rPr>
      <t xml:space="preserve"> with rate up ≤ 50 arcseconds per hour (14 mas/second) [SCRD §3.7.5.1]</t>
    </r>
  </si>
  <si>
    <r>
      <t>Capability of using at least one tip-tilt star that is moving with respect to the (moving) target planet</t>
    </r>
    <r>
      <rPr>
        <sz val="12"/>
        <rFont val="Times New Roman"/>
        <family val="1"/>
      </rPr>
      <t>.  (For example, a moon of Jupiter or Saturn) [SCRD §3.7.5.1]</t>
    </r>
  </si>
  <si>
    <t>Motion of low order wavefront sensor to track tip-tilt star.</t>
  </si>
  <si>
    <r>
      <t>Ability to acquire Io within 5” of Jupiter and to track it to within 2.5” of Jupiter.</t>
    </r>
    <r>
      <rPr>
        <sz val="12"/>
        <rFont val="Times New Roman"/>
        <family val="1"/>
      </rPr>
      <t xml:space="preserve">  Note that this is a goal but perhaps not a rigid requirement: we know we can acquire within 10” today.</t>
    </r>
  </si>
  <si>
    <t>May require either a diaphragm or a filter to attenuate the light from Jupiter.</t>
  </si>
  <si>
    <t>See AO derived requirement.</t>
  </si>
  <si>
    <r>
      <t>Sensitivity:</t>
    </r>
    <r>
      <rPr>
        <sz val="12"/>
        <rFont val="Times New Roman"/>
        <family val="1"/>
      </rPr>
      <t xml:space="preserve"> comparable to the current Keck system</t>
    </r>
  </si>
  <si>
    <r>
      <t>Absolute Photometric</t>
    </r>
    <r>
      <rPr>
        <sz val="12"/>
        <rFont val="Times New Roman"/>
        <family val="1"/>
      </rPr>
      <t xml:space="preserve"> </t>
    </r>
    <r>
      <rPr>
        <i/>
        <sz val="12"/>
        <rFont val="Times New Roman"/>
        <family val="1"/>
      </rPr>
      <t>accuracy:</t>
    </r>
    <r>
      <rPr>
        <sz val="12"/>
        <rFont val="Times New Roman"/>
        <family val="1"/>
      </rPr>
      <t xml:space="preserve"> comparable to the current Keck system (≤ 0.05 mag) [SCRD §3.7.4.4]</t>
    </r>
  </si>
  <si>
    <t>PSF knowledge</t>
  </si>
  <si>
    <t>Detector flat-fielding requirements, linearity, etc will flow down from required photometric accuracy.</t>
  </si>
  <si>
    <r>
      <t>Targets</t>
    </r>
    <r>
      <rPr>
        <sz val="12"/>
        <rFont val="Times New Roman"/>
        <family val="1"/>
      </rPr>
      <t>: Jupiter and Saturn systems, with special focus on Io and Titan</t>
    </r>
  </si>
  <si>
    <t>AO system capable of working in the presence of scattered light from nearby extended objects; NGS option for bright moons</t>
  </si>
  <si>
    <r>
      <t>Observing wavelengths</t>
    </r>
    <r>
      <rPr>
        <sz val="12"/>
        <rFont val="Times New Roman"/>
        <family val="1"/>
      </rPr>
      <t xml:space="preserve"> I, z/Y, J, H, K [SCRD §3.7.6.5]</t>
    </r>
  </si>
  <si>
    <t>AO system must pass these wavelengths to science instruments.</t>
  </si>
  <si>
    <r>
      <t xml:space="preserve">Near- IR imager and IFU spectrometer, </t>
    </r>
    <r>
      <rPr>
        <sz val="12"/>
        <rFont val="Symbol"/>
        <family val="1"/>
      </rPr>
      <t>l</t>
    </r>
    <r>
      <rPr>
        <sz val="12"/>
        <rFont val="Times New Roman"/>
        <family val="1"/>
      </rPr>
      <t>= 0.8-2.4 µm</t>
    </r>
  </si>
  <si>
    <r>
      <t>Spatial sampling:</t>
    </r>
    <r>
      <rPr>
        <sz val="12"/>
        <rFont val="Times New Roman"/>
        <family val="1"/>
      </rPr>
      <t xml:space="preserve"> for imager, ≤ Nyquist at the observing wavelength</t>
    </r>
  </si>
  <si>
    <r>
      <t>For imager, spatial sampling ≤ Nyquist at the observing wavelength.  For IFU, spatial sampling ~</t>
    </r>
    <r>
      <rPr>
        <sz val="12"/>
        <rFont val="Symbol"/>
        <family val="1"/>
      </rPr>
      <t>l</t>
    </r>
    <r>
      <rPr>
        <sz val="12"/>
        <rFont val="Times New Roman"/>
        <family val="1"/>
      </rPr>
      <t>/D.</t>
    </r>
  </si>
  <si>
    <t>Imager field of view ≥ 30” diameter at K band, ≥ 20” diameter at J and H bands (goal 30”) [SCRD §3.7.6.1]</t>
  </si>
  <si>
    <t>AO system passes a &gt;30” unvignetted field of view</t>
  </si>
  <si>
    <t>IFU field of view as large as possible, up to 15” (Jupiter’s diameter is 30”, Great Red Spot is 13” diameter) [SCRD §3.7.6.1]</t>
  </si>
  <si>
    <t>If IFU FOV is only a few arc sec, desirable to be able to place different IFUs as close together as possible.  No firm numerical requirement.</t>
  </si>
  <si>
    <t>Moons are very bright: do not allow saturation.  Typical brightness: 5 mag per square arc sec.</t>
  </si>
  <si>
    <t>Either need to use neutral density filters, or have a fast shutter, or have a detector with large wells or very short exposure times (and low read noise).  Note: these observations will have high overhead.</t>
  </si>
  <si>
    <t>The following observing preparation tools are required: PSF simulation, target ephemeris, exposure time calculator to enable choice of ND filter and exposure time.</t>
  </si>
  <si>
    <t>The following data products are required: Calibrated PSF.</t>
  </si>
  <si>
    <t>Observing requirements: Io and Titan are time domain targets; Io requires ≤ 1 hr notification of volcano activity. Typical timescales for clouds on Titan are of order days to weeks.</t>
  </si>
  <si>
    <t>Jupiter &amp; Saturn: near-IR imager from 0.8-2.4 µm 
Io: IFU 0.8-2.4 µ 
Titan: IFU 0.8-2.4 µm</t>
  </si>
  <si>
    <t>Imager field of view 
≥ 30” diameter at K band, 
≥ 20” diameter at J and H bands (goal 30”)</t>
  </si>
  <si>
    <t>15.10</t>
  </si>
  <si>
    <t>Ice Giants</t>
  </si>
  <si>
    <r>
      <t>Capability of tracking a moving target</t>
    </r>
    <r>
      <rPr>
        <sz val="12"/>
        <rFont val="Times New Roman"/>
        <family val="1"/>
      </rPr>
      <t xml:space="preserve"> with rate up ≤ 5.0 arcseconds per hour (1.4 mas/sec) [SCRD §3.8.5.1]</t>
    </r>
  </si>
  <si>
    <t>Near-IR imager, 0.8 - 2.4  µm</t>
  </si>
  <si>
    <r>
      <t>Photometric accuracy:</t>
    </r>
    <r>
      <rPr>
        <sz val="12"/>
        <rFont val="Times New Roman"/>
        <family val="1"/>
      </rPr>
      <t xml:space="preserve"> comparable to the current Keck system [SCRD §3.8.4.5]</t>
    </r>
  </si>
  <si>
    <t>Near- IR imager</t>
  </si>
  <si>
    <r>
      <t>Targets:</t>
    </r>
    <r>
      <rPr>
        <sz val="12"/>
        <rFont val="Times New Roman"/>
        <family val="1"/>
      </rPr>
      <t xml:space="preserve"> Uranus and Neptune systems.  Observations of atmospheric vertical structure will require a near-IR IFU, to be described in more detail in a future release of the SCRD.</t>
    </r>
  </si>
  <si>
    <t>Near-IR imager, 0.8 – 2.4  µm, Near-IR IFU 1.0 – 2.4 µm</t>
  </si>
  <si>
    <r>
      <t>Observing wavelengths:</t>
    </r>
    <r>
      <rPr>
        <sz val="12"/>
        <rFont val="Times New Roman"/>
        <family val="1"/>
      </rPr>
      <t xml:space="preserve"> J, H, K [SCRD §3.8.6.5]</t>
    </r>
  </si>
  <si>
    <t>Near- IR imager, Near-IR IFU</t>
  </si>
  <si>
    <r>
      <t>Spatial sampling:</t>
    </r>
    <r>
      <rPr>
        <sz val="12"/>
        <rFont val="Times New Roman"/>
        <family val="1"/>
      </rPr>
      <t xml:space="preserve"> ≤ Nyquist at the observing wavelengths</t>
    </r>
  </si>
  <si>
    <t>Spatial sampling ≤ Nyquist at the observing wavelength</t>
  </si>
  <si>
    <r>
      <t>Imager field of view:</t>
    </r>
    <r>
      <rPr>
        <sz val="12"/>
        <rFont val="Times New Roman"/>
        <family val="1"/>
      </rPr>
      <t xml:space="preserve"> ≥ 15” diameter [SCRD §3.8.6.2]</t>
    </r>
  </si>
  <si>
    <t>AO system passes a &gt;15” unvignetted field of view</t>
  </si>
  <si>
    <t>Implement a single NIR IFU (tbd whether this is deployable) instead of the deployable multi-IFU</t>
  </si>
  <si>
    <t>Do not implement OSIRIS with NGAO.</t>
  </si>
  <si>
    <t>If we could pull in the schedule by 1 year during the detailed design we could save 3.5% of $54M or $2M.</t>
  </si>
  <si>
    <t>Should pursue collaboration with TMT and COO on the tip/tilt sensors, but should not count on this cost savings yet</t>
  </si>
  <si>
    <t>Look for opportunities to make procurements with other groups to save money.</t>
  </si>
  <si>
    <r>
      <t xml:space="preserve">Use single level cascaded relay design, </t>
    </r>
    <r>
      <rPr>
        <strike/>
        <sz val="10"/>
        <rFont val="Arial"/>
        <family val="2"/>
      </rPr>
      <t>including existing 349 actuator DM</t>
    </r>
  </si>
  <si>
    <t>This approach had been favored for an MCAO upgrade option.  
Single level allows the use of our spare Xinetics DM, but hysteresis is 30% at -15C.
Single level removes the 2nd tier cost.</t>
  </si>
  <si>
    <t>~$90k estimate for 2nd tier.
Estimate $20k for larger optics.
Add 25% contingency.
Inflated to FY12.</t>
  </si>
  <si>
    <t>Reduce total laser power from 100W to 75W.</t>
  </si>
  <si>
    <t>Above assumes IFU is fixed.  No $ included for deployable.</t>
  </si>
  <si>
    <t>Only implement 2 instead of 3 LGS WFS lenslet arrays (different subaperture sizes)</t>
  </si>
  <si>
    <t>Assume $25k savings (no solid basis).
Inflate to FY12.</t>
  </si>
  <si>
    <t>Additional Actions:</t>
  </si>
  <si>
    <t>Assumes NIR IFU will be more capable.
Places significant constraints on the design to reuse an existing instrument (physical layout + control).
Lose ability to multiplex, but would have to add cost to make either OSIRIS or IFU deployable.
Allows OSIRIS to be used on other telescope.
NOTE: Reconsider this if can lower combined cost of NIR IFU &amp; OSIRIS to meet the science needs.</t>
  </si>
  <si>
    <t>$14M d-IFU ROM in FY06 becomes ~$18M with inflation by FY12.
Not included in $M column since not included in current cost estimate.</t>
  </si>
  <si>
    <t>Total Savings ($M) =</t>
  </si>
  <si>
    <t>Imager fields of view ≥ 15”</t>
  </si>
  <si>
    <r>
      <t xml:space="preserve">IFU field of view: </t>
    </r>
    <r>
      <rPr>
        <sz val="12"/>
        <rFont val="Times New Roman"/>
        <family val="1"/>
      </rPr>
      <t>as large as possible, up to ≥ 15” diameter [SCRD §3.8.6.2]</t>
    </r>
  </si>
  <si>
    <r>
      <t xml:space="preserve">Spectral resolution: </t>
    </r>
    <r>
      <rPr>
        <sz val="12"/>
        <rFont val="Times New Roman"/>
        <family val="1"/>
      </rPr>
      <t>R ≥ 3000 to resolve methane absorption features. [SCRD §3.8.6.6]</t>
    </r>
  </si>
  <si>
    <t>Near-IR IFU with R~3000</t>
  </si>
  <si>
    <r>
      <t>Observing requirements:</t>
    </r>
    <r>
      <rPr>
        <sz val="12"/>
        <rFont val="Times New Roman"/>
        <family val="1"/>
      </rPr>
      <t xml:space="preserve"> one run per semester with at least 4 contiguous (partial) nights; both targets can be studied during one run</t>
    </r>
  </si>
  <si>
    <r>
      <t xml:space="preserve">The following </t>
    </r>
    <r>
      <rPr>
        <i/>
        <sz val="12"/>
        <rFont val="Times New Roman"/>
        <family val="1"/>
      </rPr>
      <t>observing preparation tools</t>
    </r>
    <r>
      <rPr>
        <sz val="12"/>
        <rFont val="Times New Roman"/>
        <family val="1"/>
      </rPr>
      <t xml:space="preserve"> are required: PSF simulation, target ephemeris, exposure time calculator to enable choice of ND filter and exposure time.</t>
    </r>
  </si>
  <si>
    <r>
      <t xml:space="preserve">The following </t>
    </r>
    <r>
      <rPr>
        <i/>
        <sz val="12"/>
        <rFont val="Times New Roman"/>
        <family val="1"/>
      </rPr>
      <t>data products</t>
    </r>
    <r>
      <rPr>
        <sz val="12"/>
        <rFont val="Times New Roman"/>
        <family val="1"/>
      </rPr>
      <t xml:space="preserve"> are required: Calibrated PSF.</t>
    </r>
  </si>
  <si>
    <r>
      <t>Observing requirements:</t>
    </r>
    <r>
      <rPr>
        <sz val="12"/>
        <rFont val="Times New Roman"/>
        <family val="1"/>
      </rPr>
      <t xml:space="preserve"> some science goals would be well suited to queue or service observing modes</t>
    </r>
  </si>
  <si>
    <t>• The planet can be used as tip/tilt guidestar (proper motion of ≤ 5.0 arcsec/hour). 
• The AO system requires sufficient field of view for planets and for their seeing disks (&gt;5 arcsec). 
• The tip-tilt residual error will be less than 10 mas (limited by resolved primary) while guiding on one planet at 5.0 arcsec/hr (1.4 mas/sec).</t>
  </si>
  <si>
    <t>AO system (both LGS and NGS) capable of correcting on extended objects. 
• Uranus = 3.4 arcsec 
• Neptune = 2.3 arcsec</t>
  </si>
  <si>
    <t>16.10</t>
  </si>
  <si>
    <t>Backup Science - NGS</t>
  </si>
  <si>
    <r>
      <t>NGS mode.</t>
    </r>
    <r>
      <rPr>
        <sz val="12"/>
        <rFont val="Times New Roman"/>
        <family val="1"/>
      </rPr>
      <t xml:space="preserve">  NGS as a backup observing mode for when conditions restrict propagation of the lasers.</t>
    </r>
  </si>
  <si>
    <r>
      <t>Sky coverage</t>
    </r>
    <r>
      <rPr>
        <sz val="12"/>
        <rFont val="Times New Roman"/>
        <family val="1"/>
      </rPr>
      <t xml:space="preserve"> ≥5% to ensure at least one-sixth of the off-axis LGS targets will still be observable if it is necessary to go to an NGS backup mode.</t>
    </r>
  </si>
  <si>
    <t>Capability to switch between NGS and LGS modes in ≤ 15 minutes (not including target acquisition) to enable flexibility if conditions change.</t>
  </si>
  <si>
    <r>
      <t>Sensitivity</t>
    </r>
    <r>
      <rPr>
        <sz val="12"/>
        <rFont val="Times New Roman"/>
        <family val="1"/>
      </rPr>
      <t>. SNR ≥ 10 for a z = 2.6 galaxy in an integration time ≤ 3 hours for a spectral resolution R = 3500 with a spatial resolution of 50 mas</t>
    </r>
  </si>
  <si>
    <t>Observing wavelengths =  J, H and K (to 2.4 µm)</t>
  </si>
  <si>
    <t>Infrared single IFU and imager designed for J, H, and K.</t>
  </si>
  <si>
    <r>
      <t>Spectral resolution</t>
    </r>
    <r>
      <rPr>
        <sz val="12"/>
        <rFont val="Times New Roman"/>
        <family val="1"/>
      </rPr>
      <t xml:space="preserve"> = 3000 to 4000</t>
    </r>
  </si>
  <si>
    <t>Spectral resolution of &gt;3000 in IFU</t>
  </si>
  <si>
    <r>
      <t>Imaging:</t>
    </r>
    <r>
      <rPr>
        <sz val="12"/>
        <rFont val="Times New Roman"/>
        <family val="1"/>
      </rPr>
      <t xml:space="preserve"> Nyquist sampled at H-band</t>
    </r>
  </si>
  <si>
    <t>Nyquist sampled IR imager (at H-band)</t>
  </si>
  <si>
    <t>Encircled energy 50% in 70 mas for a bright NGS guide star within 10 arc sec</t>
  </si>
  <si>
    <t>Optimum spaxel size will be determined during a detailed study of the IFU instrument.</t>
  </si>
  <si>
    <t>If a new instrument: IFU field of view ≥ 1” x 3” to allow simultaneous background measurements while observing a 1” galaxy.  OSIRIS FOV would be adequate.</t>
  </si>
  <si>
    <t>Narrow relay passes 1”x3” field</t>
  </si>
  <si>
    <t>Imager FOV ≥ 10” x 10” for galactic center and gravitational lensing science</t>
  </si>
  <si>
    <t>Imager FOV ≥ 10” x 10”</t>
  </si>
  <si>
    <t>Relative photometry to ≤ 5% for observations during a single night, provided the night is photometric</t>
  </si>
  <si>
    <t>Knowledge of ensquared energy in IFU spaxel to 5%.</t>
  </si>
  <si>
    <r>
      <t xml:space="preserve">Reduced flexibility in exchange for reduced procurement costs.
Reduced RTC &amp; operations complexity.
Reduced implementation, calibration, I&amp;T effort.
Need to evaluate performance impact.
</t>
    </r>
    <r>
      <rPr>
        <i/>
        <sz val="10"/>
        <color indexed="18"/>
        <rFont val="Arial"/>
        <family val="2"/>
      </rPr>
      <t>Could we go to just one lenslet array? (RD to evaluate; did 56 subap case - also look at 48 &amp; 64 vs laser power)</t>
    </r>
  </si>
  <si>
    <r>
      <t xml:space="preserve">No vis imager or OSIRIS means two less dichroics/mirrors &amp; mounts.
Also need to investigate whether other reductions are possible (e.g., fewer dichroic mechanisms &amp; options).
</t>
    </r>
    <r>
      <rPr>
        <i/>
        <sz val="10"/>
        <color indexed="18"/>
        <rFont val="Arial"/>
        <family val="2"/>
      </rPr>
      <t>Evaluate if switchyard mechanism needed for NIR IFU (DG).</t>
    </r>
  </si>
  <si>
    <r>
      <t xml:space="preserve">$1.453M budgeted for AO non-real time control &amp; $0.777M for laser system control.
Assume 15% reduction in both.
Inflate to FY12. 
</t>
    </r>
    <r>
      <rPr>
        <i/>
        <sz val="10"/>
        <color indexed="18"/>
        <rFont val="Arial"/>
        <family val="2"/>
      </rPr>
      <t>EJ to review this estimate.</t>
    </r>
  </si>
  <si>
    <r>
      <t xml:space="preserve">$2.241M budgeted for RTC.  Assume 2% reduction.
$364k for FPGAs.  Assume $100k savings.
$2.5k for LGS WFS interface boards.  Assume 2 gone.
Inflate to FY12.
</t>
    </r>
    <r>
      <rPr>
        <i/>
        <sz val="10"/>
        <color indexed="18"/>
        <rFont val="Arial"/>
        <family val="2"/>
      </rPr>
      <t>DG to review this estimate.</t>
    </r>
  </si>
  <si>
    <t xml:space="preserve">Evaluate combining (or separating) science instrument capabilities for lower cost (SA).  For example, combining NIR imager &amp; IFU. </t>
  </si>
  <si>
    <t>Confidence level in NIR IFU cost estimate is low.  Develop better cost estimate (SA).</t>
  </si>
  <si>
    <t>Need clarifications on science priorities from KSP &amp; relative priorities (CM).</t>
  </si>
  <si>
    <t>Evaluate feasible of extending NIR instruments, especially imager, to I-band (SA).</t>
  </si>
  <si>
    <t>Consider only using PNS lasers for tip/tilt stars (separate AO systems).  Similarly fixed asterism is only used for laser tomography over the central science field.  (DG,RD)
Result: Simpler RTC, especially a reduction in the tomography volume (number of processors directly proportional to volume). Could also allow us to put some of PNS laser power back into central asterism.</t>
  </si>
  <si>
    <t>$527k budgeted for the NGS/TWFS assembly. 
$45k budgeted for vis TWFS detector vs $100k for NIR det.
Assume that 35% of budget is for TWFS.
Inflated to FY11 since includes design work.</t>
  </si>
  <si>
    <t>Consider proceeding with early launch telescope implementation even if not funded by MRI (PW).</t>
  </si>
  <si>
    <t>Should be able to initially center a galaxy to ≤ 10% of science field of view</t>
  </si>
  <si>
    <t>Should know the relative position of the galaxy to ≤ 20% of spaxel or pixel size</t>
  </si>
  <si>
    <t>The following observing preparation tools are required: NGS guide star finding tool; PSF simulation and exposure time calculator</t>
  </si>
  <si>
    <r>
      <t xml:space="preserve">Assuming </t>
    </r>
    <r>
      <rPr>
        <i/>
        <sz val="12"/>
        <rFont val="Times New Roman"/>
        <family val="1"/>
      </rPr>
      <t>b=30º,
For 5% sky coverage: 
R=14 mag guide star with 60” diameter field of regard (FOR) 
R=15 mag guide star with 45” diameter FOR 
[Keck Observatory Report No. 208, p. 4-100]</t>
    </r>
  </si>
  <si>
    <r>
      <t>Not a cost savings item but relevant to thought process: determine if we need windows on MEMS (possibly not if in clean room environment (but how do you handle them in earlier FSD &amp; I&amp;T?). (DG)
1/7/08: Voltage on MEMS with humidity &gt; 40% can damage MEMS.</t>
    </r>
    <r>
      <rPr>
        <sz val="10"/>
        <color indexed="18"/>
        <rFont val="Arial"/>
        <family val="2"/>
      </rPr>
      <t xml:space="preserve">  </t>
    </r>
    <r>
      <rPr>
        <i/>
        <sz val="10"/>
        <color indexed="18"/>
        <rFont val="Arial"/>
        <family val="2"/>
      </rPr>
      <t>Agreed on design change to assume no window on MEMS but will need a requirement on humidity.</t>
    </r>
  </si>
  <si>
    <r>
      <t>Consider no NGS mode or reduced capability (PW). Only limited science cases would use NGS (Io, Titan) instead of LGS.  Would get similar performance for fainter NGS that would get with K1 NGS system. Use other Nas instrument for backup science.
NGS/TWFS assly total $527k (FY08) + SY optics.  Already removed TWFS &amp; ADC ($260k then-year).
1/7/09: Agreed to keep NGS WFS in baseline design.  Also useful for high order calibration of the system (higher order than TWFS). Could be a spare for LGS WFS.</t>
    </r>
    <r>
      <rPr>
        <sz val="10"/>
        <color indexed="18"/>
        <rFont val="Arial"/>
        <family val="2"/>
      </rPr>
      <t xml:space="preserve">
</t>
    </r>
    <r>
      <rPr>
        <i/>
        <sz val="10"/>
        <color indexed="18"/>
        <rFont val="Arial"/>
        <family val="2"/>
      </rPr>
      <t>Consider looking at whether one of the LGS WFS could act as an NGS WFS (would need to add a dichroic changer unless all visible light up to ~ 800 nm available to the LGS WFS).</t>
    </r>
  </si>
  <si>
    <t>Science Fields</t>
  </si>
  <si>
    <t>Narrow &amp; Wide</t>
  </si>
  <si>
    <t>Narrow</t>
  </si>
  <si>
    <t>SDR Design</t>
  </si>
  <si>
    <t>B2C Baseline Design</t>
  </si>
  <si>
    <t>Central LGS Asterism</t>
  </si>
  <si>
    <t>5 variable, 1 fixed</t>
  </si>
  <si>
    <t>4 fixed</t>
  </si>
  <si>
    <t>Laser Location</t>
  </si>
  <si>
    <t>Nasmyth platform</t>
  </si>
  <si>
    <t>Elevation ring</t>
  </si>
  <si>
    <t>Total Power</t>
  </si>
  <si>
    <t>Savings ($M)</t>
  </si>
  <si>
    <t>No multi d-IFS</t>
  </si>
  <si>
    <t>Only narrow field</t>
  </si>
  <si>
    <t>ESO laser proposals</t>
  </si>
  <si>
    <r>
      <t xml:space="preserve">All laser proposals to ESO commit to this requirement.
Removes need for a tracking beam transport system.
Enclosure likely smaller, although complexity of installing on El ring larger. 
</t>
    </r>
    <r>
      <rPr>
        <sz val="10"/>
        <rFont val="Arial"/>
        <family val="2"/>
      </rPr>
      <t>The existing K2 laser enclosure is 1818kg.  The ESO requirement on the allowable weight for a 25W laser is 1000kg; so at least 50W of laser could be handled on a single El ring face. Further analysis would be required to determine if 3 or 4 lasers could be supported on a single El ring face.</t>
    </r>
    <r>
      <rPr>
        <i/>
        <sz val="10"/>
        <color indexed="18"/>
        <rFont val="Arial"/>
        <family val="2"/>
      </rPr>
      <t xml:space="preserve">  </t>
    </r>
    <r>
      <rPr>
        <i/>
        <sz val="10"/>
        <rFont val="Arial"/>
        <family val="2"/>
      </rPr>
      <t xml:space="preserve"> </t>
    </r>
  </si>
  <si>
    <r>
      <t xml:space="preserve">$7.3M (FY08) budgeted for 100W of laser power at SDR.
Assume 15% savings.
Inflated to FY12.
</t>
    </r>
    <r>
      <rPr>
        <sz val="10"/>
        <rFont val="Arial"/>
        <family val="2"/>
      </rPr>
      <t>Evaluation of additional infrastructure cost savings: 
Reuse of the Keck I laser lab hardware provides a savings of $80k in HW &amp; 400h in labor for laser lab I&amp;T.
The original estimate of $75k for pumps &amp; $100k for a chiller for 150W of laser can be reduced by 1/2 for 75W of laser. 
Both of the above should be inflated to FY12.</t>
    </r>
  </si>
  <si>
    <t>Determine if feasible to reuse existing Xinetics DM even if have 30% hysteresis (DG).
1/7/09: Decided to use a new DM as our baseline.  It may be possible to use a lower BW TT stage for the woofer since have the MEMS on TT platforms.  Should evaluated during PD (Telescope TT data in a Neyman KAON).</t>
  </si>
  <si>
    <t>Do not implement the TWFS in the narrow field relay.  
Change the wide field relay TWFS from NIR to visible.</t>
  </si>
  <si>
    <t>Already have a NIR TWFS in the wide field relay &amp; a NGS is more likely to be found in this wider field.
Any static non-common path errors in the narrow field relay will already be calibrated out via image sharpening on the narrow field science instruments.  The only dynamic part is what the narrow field MEMS is doing and this can be known from the commands sent to this MEMs.  Will require some extra work on the operational software side.
The change to vis assumes that visible light is available here.
Confirm that visible light available at LOWFS (DG) &amp; that no significant performance hit (RD).  1/7/09: DG confirms vis light available with new switchyard.  RD does not have a TWFS error budget but is not particularly concerned about a vis TWFS.  During PD need to verify that LOWFS optics transmit 500-1000 nm or could potentially use LOWFS NIR detector also for TWFS.</t>
  </si>
  <si>
    <r>
      <t xml:space="preserve">Preliminary analysis performed for 75 vs 50W of fixed asterism laser power: in worst case (ExoJup science case, 25% seeing) rms wfe increases from 160 to 167nm (J-band SR reduced by 6%).  
Assumes 56 subaps --&gt; Reduces RTC complexity.
Could still use 64x64 MEMS for static error correction based on TWFS.
Relatively easy upgrade back to 100W total &amp; 64 subapertures (64x64 LGS WFS lenslets &amp; RTC changes).
</t>
    </r>
    <r>
      <rPr>
        <i/>
        <sz val="10"/>
        <color indexed="18"/>
        <rFont val="Arial"/>
        <family val="2"/>
      </rPr>
      <t xml:space="preserve">Separately calculate tip/tilt error in mas to evaluate science impact (RD).
</t>
    </r>
    <r>
      <rPr>
        <sz val="10"/>
        <rFont val="Arial"/>
        <family val="2"/>
      </rPr>
      <t>Evaluate if laser return/W would likely change vs power (RD). 1/7/9: SOR data indicates that it is fairly linear from 2W to 40W.</t>
    </r>
    <r>
      <rPr>
        <i/>
        <sz val="10"/>
        <color indexed="18"/>
        <rFont val="Arial"/>
        <family val="2"/>
      </rPr>
      <t xml:space="preserve">
1/7/9: RD also looking at asymmetric 4 beacon fixed asterisms without PNS &amp; will check with Lianqi about sky coverage.</t>
    </r>
  </si>
  <si>
    <t>17.10</t>
  </si>
  <si>
    <t>Cost driver</t>
  </si>
  <si>
    <t>Not met.  Descoped to 1 IFU</t>
  </si>
  <si>
    <t>NIR IFU or d-IFU</t>
  </si>
  <si>
    <t>Vis &amp; NIR imagers, NIR IFU</t>
  </si>
  <si>
    <t>NIR imager</t>
  </si>
  <si>
    <t>Vis &amp; NIR imagers</t>
  </si>
  <si>
    <t>Vis &amp; NIR Imagers, NIR IFU</t>
  </si>
  <si>
    <t>Vis &amp; NIR imagers, NIR IFU or d-IFU</t>
  </si>
  <si>
    <t>Sufficiently high throughput and low emissivity of the AO system science path to achieve this sensitivity.
Background due to emissivity less than 30% of unattenuated (sky + tel).</t>
  </si>
  <si>
    <t>NIR imager, NIR IFU</t>
  </si>
  <si>
    <t>9a</t>
  </si>
  <si>
    <t>Distance galaxies lensed by clusters - imaging studies</t>
  </si>
  <si>
    <t>9b</t>
  </si>
  <si>
    <t>Distant galaxies lensed by clusters - spectroscopic studies</t>
  </si>
  <si>
    <t>Astrometry science in sparse fields</t>
  </si>
  <si>
    <t>Resolved stellar populations in crowded fields</t>
  </si>
  <si>
    <t>Debris disks</t>
  </si>
  <si>
    <t>Young stellar objects</t>
  </si>
  <si>
    <t>Infrared imager and IFUs designed for J, H, and K. Each entire wavelength band should be observable in one exposure.</t>
  </si>
  <si>
    <t>z&amp;Y could drive dichroic choices</t>
  </si>
  <si>
    <t>NIR imager, NIR IFU or d-IFU</t>
  </si>
  <si>
    <t>High redshift galaxies</t>
  </si>
  <si>
    <t>Change to goal</t>
  </si>
  <si>
    <t>170 nm wfe</t>
  </si>
  <si>
    <t>50% EE in 70 mas</t>
  </si>
  <si>
    <t>1"x3" IFU</t>
  </si>
  <si>
    <t>30% sky coverage</t>
  </si>
  <si>
    <t>Calibrated data cubes</t>
  </si>
  <si>
    <t>0.85-2.4 um</t>
  </si>
  <si>
    <t>Sampling?</t>
  </si>
  <si>
    <t>FOV?</t>
  </si>
  <si>
    <t>0.1 mas astrometry</t>
  </si>
  <si>
    <t>10" FOV</t>
  </si>
  <si>
    <t>Calibrated PSF</t>
  </si>
  <si>
    <t>$60k for coronagraph hardware</t>
  </si>
  <si>
    <t>Reduce visible imager detector to 2kx2k</t>
  </si>
  <si>
    <t>4kx4k in current cost estimate.  Science does not require this large a field.</t>
  </si>
  <si>
    <t>$300k for 4kx4k LBNL</t>
  </si>
  <si>
    <t>Don't provide a visible IFU</t>
  </si>
  <si>
    <t>Idea</t>
  </si>
  <si>
    <t>Cost Savings</t>
  </si>
  <si>
    <t>ID #</t>
  </si>
  <si>
    <t>Refine laser cost estimate</t>
  </si>
  <si>
    <t>Current Estimate</t>
  </si>
  <si>
    <t>$5.7M for two 50W lasers plus $0.3M in labor &amp; $1.2M in contingency</t>
  </si>
  <si>
    <t>TBD. May be able to reduce cost estimate &amp; contingency</t>
  </si>
  <si>
    <t>Reduce laser power requirement to 75W</t>
  </si>
  <si>
    <t>Assume laser on elevation moving part of telescope</t>
  </si>
  <si>
    <t>Reduce the number of laser beacons</t>
  </si>
  <si>
    <t>Assume a fixed central laser asterism &amp; only 3 moving beacons</t>
  </si>
  <si>
    <t>Procure &amp; implement the top-end laser launch facility in FY10</t>
  </si>
  <si>
    <t>Discussion</t>
  </si>
  <si>
    <t>We are collaborating with ESO, TMT &amp; GMT to insure the lasers we will need will be available when needed.  ESO has received five vendor bids to develop laser preliminary designs and 2 to 3 will be funded yielding designs &amp; fixed price quotes by the end of CY09.  This strongly leverages our dollars &amp; reduces risk.</t>
  </si>
  <si>
    <t>Con: Reduced performance</t>
  </si>
  <si>
    <t>Pro: Reduces complexity
Con: Reduces flexibility</t>
  </si>
  <si>
    <t>Basis of an MRI proposal that is being considered.  
Pro: Early procurement reduces then-year $.
Con: Some risk associated with procurement prior to final design</t>
  </si>
  <si>
    <t>Do not implement OSIRIS with NGAO</t>
  </si>
  <si>
    <t>Implement OSIRIS in the f/15 beam after the 1st relay</t>
  </si>
  <si>
    <t xml:space="preserve">$0.15M for OSIRIS mods excluding infrastructure in AO enclosure &amp; I&amp;T </t>
  </si>
  <si>
    <t>Con: OSIRIS offers an early instrument capability</t>
  </si>
  <si>
    <t xml:space="preserve">Space potentially available if d-IFS not in this location.
Pro: No need for reimaging optics.  </t>
  </si>
  <si>
    <t>Implement a single NIR IFU instead of the deployable multi-IFU</t>
  </si>
  <si>
    <t>$14M for deployable multi-IFU in FY06 $</t>
  </si>
  <si>
    <t>Single relay instead of cascaded relay</t>
  </si>
  <si>
    <t>See KAON 628</t>
  </si>
  <si>
    <t>None</t>
  </si>
  <si>
    <t>No coronagraph in visible imager</t>
  </si>
  <si>
    <t>Not required to meet reduced companion sensitivity requirements</t>
  </si>
  <si>
    <t>Minimize the volume to be refrigerated</t>
  </si>
  <si>
    <t>$0.77M in FY08 $ including contingency, excluding the effort to implement this large of a refrigeration unit</t>
  </si>
  <si>
    <t>Only the science path optics to the IR instruments need to be cold.  Development &amp; operational cost savings could result from having as many of the other elements as possible at ambient temperature at the cost of interface flanges for the instruments and potentially windows for other elements.  Having the LGS WFS unit at ambient temperature would be particularly advantageous.  Potentially allows the reuse of some of the existing AO enclosure.</t>
  </si>
  <si>
    <t>Reduce the number of LGS WFS units</t>
  </si>
  <si>
    <t>This is a byproduct of reducing the number of LGS</t>
  </si>
  <si>
    <t>Reduce the number of deployable LGS WFS units</t>
  </si>
  <si>
    <t>This is a byproduct of reducing the number of movable LGS</t>
  </si>
  <si>
    <t>Do not refrigerate the LGS WFS</t>
  </si>
  <si>
    <t>$3.0M in FY08 $ for the LGS WFS assembly</t>
  </si>
  <si>
    <t>Reduce the number of LGS WFS lenslets</t>
  </si>
  <si>
    <t>Reduce the number of LGS WFS subapertures</t>
  </si>
  <si>
    <t>This is a byproduct of reducing the number of real-time controlled subapertures.</t>
  </si>
  <si>
    <t>Con: Reduced flexibility for different conditions</t>
  </si>
  <si>
    <t>Collaborate on the LOWFS assembly to reduce cost</t>
  </si>
  <si>
    <t>$2.29M in FY08 $ including contingency &amp; excluding risk mitigation</t>
  </si>
  <si>
    <t>Total =</t>
  </si>
  <si>
    <t>Trips</t>
  </si>
  <si>
    <t>Total</t>
  </si>
  <si>
    <t>Non-labor</t>
  </si>
  <si>
    <t>Conting</t>
  </si>
  <si>
    <t>Management</t>
  </si>
  <si>
    <t>Labor</t>
  </si>
  <si>
    <t>$k</t>
  </si>
  <si>
    <t>% of NGAO</t>
  </si>
  <si>
    <t>hrs</t>
  </si>
  <si>
    <t>PY</t>
  </si>
  <si>
    <t>Travel</t>
  </si>
  <si>
    <t>Planning</t>
  </si>
  <si>
    <t>Project Management &amp; Meetings</t>
  </si>
  <si>
    <t>Tracking &amp; Reporting</t>
  </si>
  <si>
    <t>Proposals &amp; Fundraising</t>
  </si>
  <si>
    <t>Programmatic Risk Assessment &amp; Mitigation</t>
  </si>
  <si>
    <t>Project Reviews</t>
  </si>
  <si>
    <t>Project Support</t>
  </si>
  <si>
    <t>Systems Engineering</t>
  </si>
  <si>
    <t>Science Case Development</t>
  </si>
  <si>
    <t>3.1.1</t>
  </si>
  <si>
    <t>Science Requirements</t>
  </si>
  <si>
    <t>3.1.2</t>
  </si>
  <si>
    <t>Science Observing Planning and Execution</t>
  </si>
  <si>
    <t>3.1.3</t>
  </si>
  <si>
    <t>Science Input to Other WBS Elements Affecting Science Performance</t>
  </si>
  <si>
    <t>3.1.4</t>
  </si>
  <si>
    <t>Science Competitiveness</t>
  </si>
  <si>
    <t>3.1.5</t>
  </si>
  <si>
    <t>User Community Liason</t>
  </si>
  <si>
    <t>3.1.6</t>
  </si>
  <si>
    <t>Science Advisory Team Meetings</t>
  </si>
  <si>
    <t>Requirements</t>
  </si>
  <si>
    <t>Systems Engineering Analysis</t>
  </si>
  <si>
    <t>3.3.1</t>
  </si>
  <si>
    <t>Performance Budgets</t>
  </si>
  <si>
    <t>3.3.2</t>
  </si>
  <si>
    <t>Modeling &amp; Analysis</t>
  </si>
  <si>
    <t>3.3.3</t>
  </si>
  <si>
    <t>PSF Calibration</t>
  </si>
  <si>
    <t>System Architecture</t>
  </si>
  <si>
    <t>3.4.1</t>
  </si>
  <si>
    <t>System Hardware Architecture</t>
  </si>
  <si>
    <t>3.4.2</t>
  </si>
  <si>
    <t>Motion Control / Electronics Architecture</t>
  </si>
  <si>
    <t>3.4.3</t>
  </si>
  <si>
    <t>System Software Architecture</t>
  </si>
  <si>
    <t>3.4.4</t>
  </si>
  <si>
    <t>Operations Sequences Architecture</t>
  </si>
  <si>
    <t>External Interface Control</t>
  </si>
  <si>
    <t>Internal Interface Control</t>
  </si>
  <si>
    <t>Configuration Management</t>
  </si>
  <si>
    <t>Documentation Control</t>
  </si>
  <si>
    <t>Technical Risk Assessment &amp; Mitigation</t>
  </si>
  <si>
    <t>3.10</t>
  </si>
  <si>
    <t>System Manual</t>
  </si>
  <si>
    <t>AO System Development</t>
  </si>
  <si>
    <t>AO Enclosure</t>
  </si>
  <si>
    <t>Optomechanical</t>
  </si>
  <si>
    <t>4.2.1</t>
  </si>
  <si>
    <t>AO Support Structure</t>
  </si>
  <si>
    <t>4.2.2</t>
  </si>
  <si>
    <t>Rotator</t>
  </si>
  <si>
    <t>4.2.3</t>
  </si>
  <si>
    <t>Optical Relays</t>
  </si>
  <si>
    <t>4.2.4</t>
  </si>
  <si>
    <t>Optical Switchyard</t>
  </si>
  <si>
    <t>4.2.5</t>
  </si>
  <si>
    <t>LGS Wavefront Sensor Assembly</t>
  </si>
  <si>
    <t>4.2.6</t>
  </si>
  <si>
    <t>NGS WFS / TWFS Assembly</t>
  </si>
  <si>
    <t>4.2.7</t>
  </si>
  <si>
    <t>Low Order Wavefront Sensor Assembly</t>
  </si>
  <si>
    <t>4.2.8</t>
  </si>
  <si>
    <t>Tip/Tilt Vibration Mitigation</t>
  </si>
  <si>
    <t>4.2.9</t>
  </si>
  <si>
    <t>Acquisition Cameras</t>
  </si>
  <si>
    <t>4.2.10</t>
  </si>
  <si>
    <t>Atmospheric Dispersion Correctors</t>
  </si>
  <si>
    <t>Alignment, Calibration, and Diagnostics</t>
  </si>
  <si>
    <t>4.3.1</t>
  </si>
  <si>
    <t>Simulator</t>
  </si>
  <si>
    <t>4.3.2</t>
  </si>
  <si>
    <t>System Alignment Tools</t>
  </si>
  <si>
    <t>4.3.3</t>
  </si>
  <si>
    <t>Atmospheric Profiler</t>
  </si>
  <si>
    <t>Non-real-time Control</t>
  </si>
  <si>
    <t>4.4.1</t>
  </si>
  <si>
    <t>AO Controls Infrastructure</t>
  </si>
  <si>
    <t>4.4.2</t>
  </si>
  <si>
    <t>AO Sequencer</t>
  </si>
  <si>
    <t>4.4.3</t>
  </si>
  <si>
    <t>Motion Control SW</t>
  </si>
  <si>
    <t>4.4.4</t>
  </si>
  <si>
    <t>Device Control SW</t>
  </si>
  <si>
    <t>4.4.5</t>
  </si>
  <si>
    <t>Motion Control Electronics</t>
  </si>
  <si>
    <t>4.4.6</t>
  </si>
  <si>
    <t>Non-RTC Electronics</t>
  </si>
  <si>
    <t>4.4.7</t>
  </si>
  <si>
    <t>Lab I&amp;T System</t>
  </si>
  <si>
    <t>4.4.8</t>
  </si>
  <si>
    <t>Acquisition, Guiding, and Offloading Control</t>
  </si>
  <si>
    <t>Real-time Control</t>
  </si>
  <si>
    <t>4.5.1</t>
  </si>
  <si>
    <t>Real-time Control Processor</t>
  </si>
  <si>
    <t>4.5.2</t>
  </si>
  <si>
    <t>DM's and Tip/Tilt Stages</t>
  </si>
  <si>
    <t>AO System Lab I&amp;T</t>
  </si>
  <si>
    <t>Laser System Development</t>
  </si>
  <si>
    <t>Laser Enclosure</t>
  </si>
  <si>
    <t>Laser</t>
  </si>
  <si>
    <t>Laser Launch Facility</t>
  </si>
  <si>
    <t>Laser Safety Systems</t>
  </si>
  <si>
    <t>Laser System Control</t>
  </si>
  <si>
    <t>Laser System Lab I&amp;T</t>
  </si>
  <si>
    <t>Science Operations</t>
  </si>
  <si>
    <t>Multi-System Command Sequencer</t>
  </si>
  <si>
    <t>6.1.1</t>
  </si>
  <si>
    <t>Sequencer Infrastructure</t>
  </si>
  <si>
    <t>6.1.2</t>
  </si>
  <si>
    <t>Setup Sequences: Configurations &amp; Calibrations</t>
  </si>
  <si>
    <t>6.1.3</t>
  </si>
  <si>
    <t>Observing Sequences</t>
  </si>
  <si>
    <t>6.1.4</t>
  </si>
  <si>
    <t>System Health and Troubleshooting</t>
  </si>
  <si>
    <t>User Interfaces</t>
  </si>
  <si>
    <t>6.2.1</t>
  </si>
  <si>
    <t>User Interface Infrastructure</t>
  </si>
  <si>
    <t>6.2.2</t>
  </si>
  <si>
    <t>Setup Operations: Configuration, Calibrations</t>
  </si>
  <si>
    <t>6.2.3</t>
  </si>
  <si>
    <t>Observations User Interfaces for operator, observer, specialist</t>
  </si>
  <si>
    <t>Pre- &amp; Post-Observing Support</t>
  </si>
  <si>
    <t>6.3.1</t>
  </si>
  <si>
    <t>Users' Documentation</t>
  </si>
  <si>
    <t>6.3.2</t>
  </si>
  <si>
    <t>Planning Tools</t>
  </si>
  <si>
    <t>6.3.3</t>
  </si>
  <si>
    <t>Data Products</t>
  </si>
  <si>
    <t>Data Server</t>
  </si>
  <si>
    <t>Telescope &amp; Summit Engineering</t>
  </si>
  <si>
    <t>Telescope Performance</t>
  </si>
  <si>
    <t>Infrastructure Mods for AO</t>
  </si>
  <si>
    <t>Infrastructure Mods for Laser</t>
  </si>
  <si>
    <t>OSIRIS Modifications</t>
  </si>
  <si>
    <t>Interferometer and OHANA Mods</t>
  </si>
  <si>
    <t>Telescope Integration &amp; Test</t>
  </si>
  <si>
    <t>Old AO/Laser Removal</t>
  </si>
  <si>
    <t>Laser Enclosure Integration</t>
  </si>
  <si>
    <t>AO  Enclosure Integration</t>
  </si>
  <si>
    <t>AO System Install + I&amp;T</t>
  </si>
  <si>
    <t>Laser System Install + I&amp;T</t>
  </si>
  <si>
    <t>LGS AO System On-sky I&amp;T</t>
  </si>
  <si>
    <t>Performance Characterization</t>
  </si>
  <si>
    <t>Science Verification</t>
  </si>
  <si>
    <t>Operations Transition</t>
  </si>
  <si>
    <t>Operations Plans</t>
  </si>
  <si>
    <t>Operations Handover</t>
  </si>
  <si>
    <t>9.2.1</t>
  </si>
  <si>
    <t>Operations Personnel Training</t>
  </si>
  <si>
    <t>9.2.2</t>
  </si>
  <si>
    <t>Documentation &amp; Spares Transition</t>
  </si>
  <si>
    <t>TMT has similar needs.  COO has put in a relevant proposal for a robotic AO telescope.</t>
  </si>
  <si>
    <t>Reduce the number of degrees of freedom to be controlled</t>
  </si>
  <si>
    <t>This is tied to multiple other elements</t>
  </si>
  <si>
    <t>$1.45M in FY08 $ including contingency &amp; excluding system I&amp;T</t>
  </si>
  <si>
    <t>Reduce the number of degrees of freedom to be input &amp; controlled by the RTC</t>
  </si>
  <si>
    <t>The complexity of the system is directly scalable to the number of degrees of freedom</t>
  </si>
  <si>
    <t>Revisit the need for ADCs in the LOWFS</t>
  </si>
  <si>
    <t>Exploit commonalities between instruments &amp; with NGAO</t>
  </si>
  <si>
    <t>Exploit controls commonalities between instruments &amp; NGAO</t>
  </si>
  <si>
    <t>Upgrade existing Keck AO system</t>
  </si>
  <si>
    <t>Put NGAO on K1 instead of K2</t>
  </si>
  <si>
    <t>Revisit single level optical relay option</t>
  </si>
  <si>
    <t>Reduce the field size from 150" diameter to ?</t>
  </si>
  <si>
    <t>Reduce the number of subapertures from 64 to 48 or 40</t>
  </si>
  <si>
    <t>Don't implement a visible imager</t>
  </si>
  <si>
    <t xml:space="preserve">The NIR imager may be able to provide some capability at wavelengths down to ~ 800 nm.  </t>
  </si>
  <si>
    <t>Only provide one TWFS</t>
  </si>
  <si>
    <t>Reduce the capabilities of the NGS WFS</t>
  </si>
  <si>
    <t>At least one of the pros of the two-level approach (MCAO-upgrade path) could potentially be discounted.</t>
  </si>
  <si>
    <t>See KAON 500 &amp; 502.</t>
  </si>
  <si>
    <t>Reuse of launch telescope &amp; laser enclosure at minimum</t>
  </si>
  <si>
    <t>Optics in first relay scale with the field size</t>
  </si>
  <si>
    <t>Mechanical Engineering</t>
  </si>
  <si>
    <t>Optical Engineering</t>
  </si>
  <si>
    <t>Electrical Engineering</t>
  </si>
  <si>
    <t>Software Engineering</t>
  </si>
  <si>
    <t>Other (management, technical staff)</t>
  </si>
  <si>
    <t>Procurements</t>
  </si>
  <si>
    <t>Equipment and Fabrications</t>
  </si>
  <si>
    <t>Misc. Supplies and Meeting Costs</t>
  </si>
  <si>
    <t>Notes</t>
  </si>
  <si>
    <t>Expenses</t>
  </si>
  <si>
    <t>Hours</t>
  </si>
  <si>
    <t>Cost</t>
  </si>
  <si>
    <t>1.  Labor cost based on a blended WMKO/mainland rate of $60 per hour in FY08.</t>
  </si>
  <si>
    <t>1,2</t>
  </si>
  <si>
    <t>Project Total</t>
  </si>
  <si>
    <t>Technicians</t>
  </si>
  <si>
    <t>Fringe Benefits</t>
  </si>
  <si>
    <t>Total Non-Labor Costs</t>
  </si>
  <si>
    <t>Calendar 2009</t>
  </si>
  <si>
    <t>Project Phase</t>
  </si>
  <si>
    <t>PD</t>
  </si>
  <si>
    <t>DD</t>
  </si>
  <si>
    <t>Calendar 2010</t>
  </si>
  <si>
    <t>Calendar 2011</t>
  </si>
  <si>
    <t>Calendar 2012</t>
  </si>
  <si>
    <t>Calendar 2013 (delivery to NGAO 4/5/13)</t>
  </si>
  <si>
    <t>FSD</t>
  </si>
  <si>
    <t>Total Salaries and Wages</t>
  </si>
  <si>
    <t>Total Salaries, Wages and Fringe Benefits</t>
  </si>
  <si>
    <t>Equipment and Fabrication Estimate</t>
  </si>
  <si>
    <t>hours</t>
  </si>
  <si>
    <t>Support Astronomer/Project Scientist</t>
  </si>
  <si>
    <t>3.  Labor cost based on a WMKO rate of $57 per hour in FY08, assume academic appointment (zero cost) for other science participation.</t>
  </si>
  <si>
    <t>4.  Management labor cost based on a WMKO senior management rate of $65 per hour in FY08</t>
  </si>
  <si>
    <t>5. Technician labor cost based on a blended WMKO/mainland rate of $35 per hour in FY08.</t>
  </si>
  <si>
    <t>6.  Benefits at 30% rate.</t>
  </si>
  <si>
    <t>1  FTE</t>
  </si>
  <si>
    <t>FY08 rates (see notes)</t>
  </si>
  <si>
    <t>inflation</t>
  </si>
  <si>
    <t>% per annum</t>
  </si>
  <si>
    <t>Totals</t>
  </si>
  <si>
    <t>Dewar</t>
  </si>
  <si>
    <t>Optics</t>
  </si>
  <si>
    <t>Structure and shell</t>
  </si>
  <si>
    <t>Filter wheel</t>
  </si>
  <si>
    <t>Coronagraph</t>
  </si>
  <si>
    <t>Detector (Hawaii-2RG)</t>
  </si>
  <si>
    <t>Electronics</t>
  </si>
  <si>
    <t>Motion control</t>
  </si>
  <si>
    <t>Temperature and vacuum</t>
  </si>
  <si>
    <t>Pulse tube cooler</t>
  </si>
  <si>
    <t>Detector target computer</t>
  </si>
  <si>
    <t>Host computer</t>
  </si>
  <si>
    <t>Cables and interconnects</t>
  </si>
  <si>
    <t>Power control</t>
  </si>
  <si>
    <t>Enclosure</t>
  </si>
  <si>
    <t>7.  Inflation applied at 4% per year.</t>
  </si>
  <si>
    <t>Structure</t>
  </si>
  <si>
    <t>Detector (LBNL 4K x 4K)</t>
  </si>
  <si>
    <t>Detector dewar</t>
  </si>
  <si>
    <t>Cryotiger cooler</t>
  </si>
  <si>
    <t>$3.45M in ~ then-year $</t>
  </si>
  <si>
    <t>Multiple (6-12) IFUs, deployable on the 5 square arc minute field of regard</t>
  </si>
  <si>
    <t>Spectral resolution of &gt;3000 in IFUs</t>
  </si>
  <si>
    <t>Wavefront error 170 nm or better</t>
  </si>
  <si>
    <t>Nyquist sampled pixels at each wavelength</t>
  </si>
  <si>
    <t>Wavefront error sufficiently low (~170 nm) to achieve the stated requirement in J, H, and K bands.</t>
  </si>
  <si>
    <t>IFU spaxel size: either 35 or 70 mas, to be determined during the design study for the multiplexed IFU spectrograph</t>
  </si>
  <si>
    <t>Velocity determined to ≤ 20 km/sec for spatial resolutions of 70 mas</t>
  </si>
  <si>
    <t xml:space="preserve">PSF intensity distribution known to ≤ 10% per spectral channel.  </t>
  </si>
  <si>
    <t xml:space="preserve">Each MOAO IFU channel passes a 1”x3” field.  </t>
  </si>
  <si>
    <t>Each IFU unit’s field of view is 1” x 3”</t>
  </si>
  <si>
    <t>See #1.8</t>
  </si>
  <si>
    <t>Relative photometry to ≤ 5% for observations during a single night</t>
  </si>
  <si>
    <t>Knowledge of ensquared energy in IFU spaxel to 5%. Telemetry system that monitors tip/tilt star Strehl and other real-time data to estimate the EE vs. time, or other equivalent method to determine PSF to the required accuracy.</t>
  </si>
  <si>
    <t>Infrared tip/tilt sensors with AO correction of tip/tilt stars</t>
  </si>
  <si>
    <t>Should be able to center a galaxy to ≤ 10% of science field of view</t>
  </si>
  <si>
    <t>Should know the relative position of the galaxy to ≤ 20% of spaxel size</t>
  </si>
  <si>
    <t>Target drift should be ≤ 10% of spaxel size in 1 hr</t>
  </si>
  <si>
    <t>The following observing preparation tools are required: PSF simulation and exposure time calculator</t>
  </si>
  <si>
    <t>The following data products are required: calibrated spectral data cube</t>
  </si>
  <si>
    <t>#</t>
  </si>
  <si>
    <t>Science Performance Requirement</t>
  </si>
  <si>
    <t>AO Derived Requirements</t>
  </si>
  <si>
    <t>Instrument Requirements</t>
  </si>
  <si>
    <r>
      <t>Sensitivity</t>
    </r>
    <r>
      <rPr>
        <sz val="12"/>
        <rFont val="Times New Roman"/>
        <family val="1"/>
      </rPr>
      <t>. SNR ≥ 10 for a z = 2.6 galaxy in an integration time ≤ 3 hours for a spectral resolution R = 3500 with a spatial resolution of 70 mas
[SCRD §2.1.4]</t>
    </r>
  </si>
  <si>
    <r>
      <t xml:space="preserve">Multi-object AO system: one DM per arm, </t>
    </r>
    <r>
      <rPr>
        <i/>
        <sz val="12"/>
        <rFont val="Times New Roman"/>
        <family val="1"/>
      </rPr>
      <t>or</t>
    </r>
    <r>
      <rPr>
        <sz val="12"/>
        <rFont val="Times New Roman"/>
        <family val="1"/>
      </rPr>
      <t xml:space="preserve"> an upstream MCAO system correcting the entire field of regard.
6-12 arms on 5 square arc minutes patrol field.</t>
    </r>
  </si>
  <si>
    <r>
      <t>Target sample size</t>
    </r>
    <r>
      <rPr>
        <sz val="12"/>
        <rFont val="Times New Roman"/>
        <family val="1"/>
      </rPr>
      <t xml:space="preserve"> of ≥ 200 galaxies in ≤ 3 years (assuming a target density of 4 galaxies per square arcmin)
[SCRD §2.1.3]</t>
    </r>
  </si>
  <si>
    <t>Spectroscopic &amp; imaging observing wavelengths = J,H &amp; K (to 2.4mm).
z&amp;Y are of interest as well; the importance of including these bands is being assessed.
[SCRD §2.1.4, §2.1.5.3]</t>
  </si>
  <si>
    <t>AO system must transmit J, H, and K bands</t>
  </si>
  <si>
    <t>Narrow field imaging: diffraction limited at J, H, K
[SCRD §2.1.5.3]</t>
  </si>
  <si>
    <t>Spectral resolution = 3000 to 4000
[SCRD §2.1.5.1, §2.1.5.3]</t>
  </si>
  <si>
    <t>Encircled energy at least 50% in 70 mas for sky coverage of 30% (see 1.11)
[SCRD §2.1.5.2]</t>
  </si>
  <si>
    <t>IFU field of view ≥ 1” x 3” in order to allow sky background measurement at same time as observing a ~1” galaxy
[SCRD §2.1.5.1]</t>
  </si>
  <si>
    <t>Simultaneous sky background measurements within a radius of 3” with the same field of view as the science field
[SCRD §2.1.5.1]</t>
  </si>
  <si>
    <t>1.10</t>
  </si>
  <si>
    <t>Sky coverage ≥30% at 170 nm wavefront error, to overlap with data sets from other instruments and telescopes [SCRD §2.1.5.2]</t>
  </si>
  <si>
    <t>The following data products are required: calibrated spectral data cube [SCRD §2.1.5.3]</t>
  </si>
  <si>
    <t>Sufficiently high throughput and low emissivity of the AO system science path to achieve this sensitivity.
Background due to emissivity less than 30% of unattenuated (sky + telescope). [SCRD §2.1.5.1 and SCRD Figure 1]</t>
  </si>
  <si>
    <t>Nearby AGNs</t>
  </si>
  <si>
    <t>Number of targets required: to be specified in future versions of the SCRD</t>
  </si>
  <si>
    <t>50% enclosed energy radius &lt; ½ gravitational sphere of influence. Wavefront error requirement to be specified in future versions of this document.</t>
  </si>
  <si>
    <t>Spectral and imaging pixels/spaxels &lt; ½ gravitational sphere of influence (in the spatial dimension)</t>
  </si>
  <si>
    <t>Will need to get sky background measurement as efficiently as possible.  For IR, consider using a separate d-IFU on the sky.</t>
  </si>
  <si>
    <t>PSF stability and knowledge requirements will be discussed in future releases of the SCRD</t>
  </si>
  <si>
    <t>Spectral resolution R ~ 3000-4000 with at least two pixels per resolution element; detector limited SNR performance. Spatial sampling at least two resolution elements across the gravitational sphere of influence</t>
  </si>
  <si>
    <t>Required observation planning tools: PSF simulation tools to plan for observations of Seyfert 1 galaxies which have strong central point sources</t>
  </si>
  <si>
    <t>Required data reduction pipeline for IFU</t>
  </si>
  <si>
    <t>Number of targets required: to be specified in future versions of the SCRD [SCRD §2.2.3]</t>
  </si>
  <si>
    <t>Required wavelength range 0.85 – 2.4 microns [SCRD §2.2.3]</t>
  </si>
  <si>
    <t>Required spatial sampling at least two resolution elements across gravitational sphere of influence. [SCRD §2.2.2]</t>
  </si>
  <si>
    <t>Required field of view for both spectroscopy and imaging &gt; 10 radii of the gravitational sphere of influence. [e.g., SCRD §2.2.4 Figure 3]</t>
  </si>
  <si>
    <t>Required SNR for spatially resolved spectroscopy of the central black hole region using stellar velocities &gt; 30 per resolution element [SCRD §2.2.3]</t>
  </si>
  <si>
    <t>3a.1</t>
  </si>
  <si>
    <t>3a.2</t>
  </si>
  <si>
    <t>Transmit H and K band to science instrument</t>
  </si>
  <si>
    <t>3a.3</t>
  </si>
  <si>
    <t>Science path shall allow an unvignetted 10” x 10” field.</t>
  </si>
  <si>
    <t>3a.4</t>
  </si>
  <si>
    <t>3a.5</t>
  </si>
  <si>
    <t>The following observing preparation tools are required: PSF simulation as function of wavelength and seeing conditions, exposure time calculator.</t>
  </si>
  <si>
    <t>3a.6</t>
  </si>
  <si>
    <r>
      <t>Astrometric</t>
    </r>
    <r>
      <rPr>
        <sz val="12"/>
        <rFont val="Times New Roman"/>
        <family val="1"/>
      </rPr>
      <t xml:space="preserve"> accuracy ≤ 100 µas for objects ≤ 5” from the Galactic Center [SCRD §2.3.8.1]</t>
    </r>
  </si>
  <si>
    <t>Nyquist sampling at H and K. 
Instrument distortion characterized and stable to ≤ 100 µas.</t>
  </si>
  <si>
    <t>High Strehl to reduce confusion limit: rms wavefront error ≤ 170 nm at G.C.
IR tip/tilt sensors.
Means of aligning and measuring position of tip-tilt sensors so that they permit astrometric accuracy of ≤ 100 µas.
Means of preventing WFS-blind field-distortion modes (if multi-DMs are in series).
Will require ADC.  Need astrometric error budget in order to determine ADC requirements.</t>
  </si>
  <si>
    <t>Observing wavelengths: H and K-band [SCRD §2.3.9]</t>
  </si>
  <si>
    <t>Field of view ≥ 10” x 10” for imaging [SCRD §2.3.9]</t>
  </si>
  <si>
    <r>
      <t xml:space="preserve">Ability to construct 40’x40” mosaic to tie to radio astrometric reference frame [SCRD §2.3.5] </t>
    </r>
    <r>
      <rPr>
        <i/>
        <sz val="12"/>
        <rFont val="Times New Roman"/>
        <family val="1"/>
      </rPr>
      <t>Required accuracy needs to be determined</t>
    </r>
  </si>
  <si>
    <t>The following data products are required:
Calibrated PSF, data reduction pipeline, accurate distortion map (see 3a.1)
[SCRD §2.3.5]</t>
  </si>
  <si>
    <t>GR effects in the Galactic Center - Astrometry</t>
  </si>
  <si>
    <t>3a</t>
  </si>
  <si>
    <t>3b</t>
  </si>
  <si>
    <t>GR effects in the Galactic Center - Radial Velocities</t>
  </si>
  <si>
    <t>3b.1</t>
  </si>
  <si>
    <t>3b.2</t>
  </si>
  <si>
    <t>Transmit H, K band to science instrument</t>
  </si>
  <si>
    <t>3b.3</t>
  </si>
  <si>
    <t>20 and 35 mas spaxel scales at H and K respectively</t>
  </si>
  <si>
    <t>3b.4</t>
  </si>
  <si>
    <t>Field of view ≥ 1” x 1”</t>
  </si>
  <si>
    <t>3b.5</t>
  </si>
  <si>
    <t>3b.6</t>
  </si>
  <si>
    <t>170nm wavefront error at G.C.
PSF estimation sufficient to measure a radial velocity to 10 km/sec.
[suggestions from SCRD §2.3.8.2]</t>
  </si>
  <si>
    <t>Spectral resolution ≥ 4000
Calibration of one IFU relative to other ones sufficient to permit 10 km/sec radial velocity measurement</t>
  </si>
  <si>
    <r>
      <t>Radial velocity</t>
    </r>
    <r>
      <rPr>
        <sz val="12"/>
        <rFont val="Times New Roman"/>
        <family val="1"/>
      </rPr>
      <t xml:space="preserve"> accuracy ≤ 10 km/sec for objects ≤ 5” from the Galactic Center [SCRD §2.3.8.2]</t>
    </r>
  </si>
  <si>
    <t>Observing wavelengths H, K-band [SCRD §2.3.6]</t>
  </si>
  <si>
    <t>Spatial sampling ≤  20 mas (H) or 35 mas (K) to control confusion within IFU field of view [SCRD §2.3.6]</t>
  </si>
  <si>
    <t>Field of view ≥ 1” x 1” [SCRD §2.3.6]</t>
  </si>
  <si>
    <t>The following data products are required: IFU pipeline for wavelength/flux calibration [SCRD §2.3.6]</t>
  </si>
  <si>
    <t>Planets around Low Mass Stars</t>
  </si>
  <si>
    <t>Observe 20 targets per night (each with e.g. 20 min integration time).  Guide on a tip-tilt star with H=14.  Talk to Mike Liu re guide star magnitude.</t>
  </si>
  <si>
    <t>Should proceed with MRI proposal to allow us to implement the launch facility early, but shouldn't count on cost savings.</t>
  </si>
  <si>
    <t>$75k for PSF monitor DM &amp; $20k for TT mechanism on TWFS.
Include 25% contingency.
Inflate to FY12</t>
  </si>
  <si>
    <t>Fewer devices &amp; controlled degrees of freedom</t>
  </si>
  <si>
    <t>Reduced RTC complexity</t>
  </si>
  <si>
    <t>No d-IFS MEMS/TT to control.
48x48 instead of 64x64 subapertures.
2 fewer LGS WFS &amp; UTT.
Scale of problem reduced from 9x64x64x(9x32x32) to 7x48x48x(3x32x32) for IFS science or a factor of 7.
Scale reduced from 9x64x64x(3x32x32+64x64) to 7x48x48x(3x32x32+48x48) for narrow field science or a factor of 3.</t>
  </si>
  <si>
    <t>Fix the central four LGS beacons</t>
  </si>
  <si>
    <t>During FSD ~$40k hardware budgeted per beam transport channel.
During FSD ~$170k budgeted for the hardware for each LGS WFS + 209k for total labor + $804k contingency (total of $2632k).
Assume can save the hardware cost + 25% contingency.
Inflated to FY12.</t>
  </si>
  <si>
    <t>During FSD ~$40k hardware budgeted per beam transport channel.  Assume can save 1/2 of this.
During FSD ~$33k budgeted for the OSM hardware for each LGS WFS + 209k for total labor + $804k contingency (total of $2632k). Assume can save the hardware cost.
Assume can save 25% contingency.
Inflated to FY12.</t>
  </si>
  <si>
    <t>Should continue with laser vendor preliminary designs to reduce laser cost uncertainty.</t>
  </si>
  <si>
    <t>Reduce $40k hardware budgeted per beam tranport channel by 50% (add 25% contingency)
Reduce $117k budgeted for launch facility during FSD by 10%.
Remove $50k for beam transport design (add 25% contingency).
Remove $50k for telescope I&amp;T (add 25% contingency).
Inflated to FY12</t>
  </si>
  <si>
    <t>$769k budget for AO enclosure &amp; $926k for infrastructure mods for AO.
WAG = $150k less for enclosure, $150k less for mods &amp; $50k less for LGS WFS.
Inflated to FY12</t>
  </si>
  <si>
    <t>The absence of the d-IFS makes this more feasible.  Could identify the fixed asterism which best optimizes the on-axis science correction versus atmospheric conditions.  The three remaining beacons could be used to directly provide sharpening information on the TT stars or to enhance the on-axis correction or a compromise betwen the two.
This removes the need for 4 movable LGS beacons &amp; 4 movable LGS WFS.
Removes 16 degrees of freedom.
May be a design challenge to implement 3 with pick-offs with 4 fixed.</t>
  </si>
  <si>
    <t>Near infrared imager (possibly with coronagraph).  Survey primary stars at J- and H‑band.</t>
  </si>
  <si>
    <t xml:space="preserve">Observe 20 targets per night (each with e.g. 20 min integration time).  </t>
  </si>
  <si>
    <t>Target sample 3: solar type stars in nearby star forming regions such as Taurus and Ophiuchus, and young clusters @ 100 to 150 pc distance.  Bright targets (on-axis tip-tilt generally possible: V=14-15, J=10-12).  Sample size several hundred, desired maximum survey duration 3 yrs.</t>
  </si>
  <si>
    <t>(May not require LGS if there is a good enough near-IR wavefront sensor available).</t>
  </si>
  <si>
    <t>Excellent (&lt;10nm) calibration of both initial LGS spot size and quasi-static non-common path aberrations, especially at mid-spatial-frequencies.  Needs algorithms such as phase retrieval or speckle nulling (on a fiber source + good stability).  Small servo-lag error (&lt;30nm) to avoid scattered light at 0.2 arc sec.  Source: Error budget and simulations by Bruce Macintosh.</t>
  </si>
  <si>
    <t>Same as #4.4</t>
  </si>
  <si>
    <t xml:space="preserve">Excellent (10-20nm) calibration of both initial LGS spot size and quasi-static non-common path aberrations, at both low- and mid-spatial-frequencies.  Needs algorithms such as phase retrieval or speckle nulling (on a fiber source + good stability).  Small servo-lag error (&lt;30nm) to avoid scattered light at 0.2 arc sec.  Tomography errors 20-30nm.  Source: error budget and simulations by Bruce Macintosh.   </t>
  </si>
  <si>
    <r>
      <t>Requires multi-</t>
    </r>
    <r>
      <rPr>
        <sz val="12"/>
        <rFont val="MS Mincho"/>
        <family val="3"/>
      </rPr>
      <t xml:space="preserve"> λ</t>
    </r>
    <r>
      <rPr>
        <sz val="12"/>
        <rFont val="Times New Roman"/>
        <family val="1"/>
      </rPr>
      <t xml:space="preserve"> speckle suppression; very small inner working angle coronagraph (2</t>
    </r>
    <r>
      <rPr>
        <sz val="12"/>
        <rFont val="MS Mincho"/>
        <family val="3"/>
      </rPr>
      <t xml:space="preserve"> λ</t>
    </r>
    <r>
      <rPr>
        <sz val="12"/>
        <rFont val="Times New Roman"/>
        <family val="1"/>
      </rPr>
      <t>/D); static errors in 5-10nm range.</t>
    </r>
  </si>
  <si>
    <t>Sufficiently high throughput and low emissivity to permit detecting H=25 in 20 minutes at 5 sigma above background.</t>
  </si>
  <si>
    <t>Diagnostics on AO data to measure Strehl fluctuations if it takes a while to move on and off the coronagraph (a possible more attractive solution is a specialized coronagraph that simultaneously images the primary)</t>
  </si>
  <si>
    <t>Induced ghost images of primary; or rapid interleaving of saturated and unsaturated images; or a partially transparent coronagraph</t>
  </si>
  <si>
    <t>Transmit JHK to science instrument.  Goal: Y and z.</t>
  </si>
  <si>
    <t>JHK filters.  Methane band filters for rapid discrimination, Y and z, and/or a custom filter for early characterization.</t>
  </si>
  <si>
    <t>Able to register and subtract PSFs (with wavelength, time, etc.) for post-processing to get rid of residual speckles.  Subtraction needs to be sufficient enough to meet req. #4.4.</t>
  </si>
  <si>
    <t>PSF knowledge and/ or stability to meet req. #4.4.</t>
  </si>
  <si>
    <t>At least 1.5 x better than Nyquist sampled at J (goal Y)</t>
  </si>
  <si>
    <t>Field of view 3" radius (goal 5" radius)</t>
  </si>
  <si>
    <t>Technical field for low-order wavefront guidestar pickoff large enough to achieve 30% sky coverage  at high galactic latitude. Ability to acquire and track 3 tip/tilt stars. (More lenient if parent star can be used as one of the three TT stars.)  Or ability to measure everything sufficiently with a single H=15 TT star (pyramid sensors).</t>
  </si>
  <si>
    <t>The following observing preparation tools are required: guide star finder for high proper-motion stars</t>
  </si>
  <si>
    <t>Rationale</t>
  </si>
  <si>
    <t>Cost Savings ($M)</t>
  </si>
  <si>
    <t>% of WBS in this Phase</t>
  </si>
  <si>
    <t xml:space="preserve"> </t>
  </si>
  <si>
    <t>PD Phase</t>
  </si>
  <si>
    <t>Total of all Phases</t>
  </si>
  <si>
    <t>DD Phase</t>
  </si>
  <si>
    <t>FSD Phase</t>
  </si>
  <si>
    <t>DC Phase</t>
  </si>
  <si>
    <t>System Design</t>
  </si>
  <si>
    <t>FY07</t>
  </si>
  <si>
    <t>FY08</t>
  </si>
  <si>
    <t>FY09</t>
  </si>
  <si>
    <t>FY10</t>
  </si>
  <si>
    <t>FY11</t>
  </si>
  <si>
    <t>FY12</t>
  </si>
  <si>
    <t>FY13</t>
  </si>
  <si>
    <t>Preliminary Design</t>
  </si>
  <si>
    <t>Detailed Design</t>
  </si>
  <si>
    <t>Full Scale Development</t>
  </si>
  <si>
    <t>Delivery &amp; Commissioning</t>
  </si>
  <si>
    <t>Annual inflation =</t>
  </si>
  <si>
    <t>Start</t>
  </si>
  <si>
    <t>End</t>
  </si>
  <si>
    <t>Months</t>
  </si>
  <si>
    <t>FY14</t>
  </si>
  <si>
    <t>FY15</t>
  </si>
  <si>
    <t>Years of inflation</t>
  </si>
  <si>
    <t>NGAO System</t>
  </si>
  <si>
    <t>NIR Imager</t>
  </si>
  <si>
    <t>NIR IFU</t>
  </si>
  <si>
    <t>Visible Imager</t>
  </si>
  <si>
    <t>NGAO Total =</t>
  </si>
  <si>
    <t>NGAO Instrument Total =</t>
  </si>
  <si>
    <t>Overall Total =</t>
  </si>
  <si>
    <t>Contingency</t>
  </si>
  <si>
    <t>Actuals ($k)</t>
  </si>
  <si>
    <t>Plan (Then-Year $k)</t>
  </si>
  <si>
    <t>$0.162M for laser enclosure &amp; $2.1M for launch facility including contingency, but excluding lab &amp; telescope I&amp;T.</t>
  </si>
  <si>
    <t>All the laser proposals to ESO commit to this requirement.  
Pro: Removes need to have a tracking beam transport system.  
Pro: Laser enclosure is small.  
Con: Need to get cooling &amp; cabling onto El ring</t>
  </si>
  <si>
    <t>$0.25M</t>
  </si>
  <si>
    <t>Total savings ($M) =</t>
  </si>
  <si>
    <t>Total savings ($M), excluding item 1 =</t>
  </si>
  <si>
    <t>Reduce the number of LGS beacons from 9 to 7</t>
  </si>
  <si>
    <t>Only a minor performance degradation.
Reduces the number of beam transport optics, the number of LGS WFS, the number of motion control degrees of freedom &amp; the RTC complexity.</t>
  </si>
  <si>
    <t>$M</t>
  </si>
  <si>
    <t>Explanation</t>
  </si>
  <si>
    <t>Only refrigerate the NGAO science path optics.  Don't refrigerate the LGS WFS assembly.</t>
  </si>
  <si>
    <t>Dramatically reduces the volume to be cooled vs cooling much of the Nasmyth platform.
Where possible, benefit from the NFIRAOS design that follows this approach.
Implement the design so that at least the LGS WFS assembly is outside the refrigerated area; implies lower cost components &amp; easier maintenance.
Instruments should mate to ports to seal the refrigerated area.
Could potentially reuse much of existing AO enclosure for larger room.</t>
  </si>
  <si>
    <t>Extragalactic community was not supportive of multi-IFUs at the Keck 2008 Strategic Planning Meeting.
SDR reviewers asked us to revisit the cost vs benefit.
This allows us to make a large step toward the build-to-cost guidelines.
We should evaluate any work that would prevent implementation of more IFU units in the future.</t>
  </si>
  <si>
    <t>Do not implement visible imager</t>
  </si>
  <si>
    <t>Design correction: No PSF monitor DM &amp; no TT mechanism on TWFS</t>
  </si>
  <si>
    <t>Above does not include separate 32x32 MEMS for NIR IFU.  Instead assumes IFU after 64x64 MEMS.
Better AO performance &amp; no thruput/emissivity impact since would have needed relay optics &amp; 32x32 MEMS.</t>
  </si>
  <si>
    <t>Would like to be at least $2M below the $60M cap to allow for likely estimate growth during PD &amp; DD, &amp;/or higher contingency (closer to 30% on NGAO as goal).</t>
  </si>
  <si>
    <t>Consider an asymmetric fixed LGS asterism with a rotator, instead of PNS.  (RD)</t>
  </si>
  <si>
    <t>Discussed a further reduction to 50W laser total. This allows a clear future upgrade path with cost savings. Decided against for now since increases performance risk for 1st science.</t>
  </si>
  <si>
    <t>Higher MEMS costs</t>
  </si>
  <si>
    <t>Gavel reports that the MEMS costs may be going up</t>
  </si>
  <si>
    <t>$150 instead of $75/actuator.  
Assume 3x1000 &amp; 1x4000 actuators.
Inflate to FY12.</t>
  </si>
  <si>
    <t>2.  Inflation at 3.5% per year applied to labor.</t>
  </si>
  <si>
    <t>Do not implement an ADC for the NGS WFS</t>
  </si>
  <si>
    <t>NGS WFS not used for primary science.</t>
  </si>
  <si>
    <t>Assume $50k savings (no solid basis).
Inflate to FY12.</t>
  </si>
  <si>
    <t>The above items result in reduced number of devices/stages to control &amp; reduced complexity.
Fewer devices: No d-IFS or IFS DM/TT to control since on-axis.  2 less LGS WFS &amp; UTT mirrors.
Fewer DOF: NGS TWFS (3 dof). LGS WFS (27). Vis imager (5). OSIRIS (1). NGS WFS ADC (3). Laser (18 or 36).  Overall this represents 35% of the motion control.</t>
  </si>
  <si>
    <t>$150k budget for OSIRIS mods.
$60k estimate for opto-mechanical design &amp; implementation, science ops tools design &amp; implementation, &amp; integrating with NGAO (add 25% contingency).
Inflated to FY12.</t>
  </si>
  <si>
    <t>Reduced switchyard opto-mechanics</t>
  </si>
  <si>
    <t>$17k in HW for vis imager dichroic &amp; $3k HW for OSIRIS mirror.  Assume $30k + $10k labor.
Inflate to FY12.</t>
  </si>
  <si>
    <t>Error in SDR estimate</t>
  </si>
  <si>
    <t>Amount under $60M cap =</t>
  </si>
  <si>
    <t>Additional Contingency =</t>
  </si>
  <si>
    <t>Notes:</t>
  </si>
  <si>
    <t>Each one of the above proposals would work in the direction of simplifying NGAO, which also reduces risk.</t>
  </si>
  <si>
    <t>We should look at other design simplifications &amp; cost savings during the PD.</t>
  </si>
  <si>
    <t>Already part of the baseline cost not to provide.</t>
  </si>
  <si>
    <t>R&gt;4000</t>
  </si>
  <si>
    <t>R=3000-4000</t>
  </si>
  <si>
    <t>R=3000-4000. Ok.</t>
  </si>
  <si>
    <t>Drives IFU sampling (20 mas at H)</t>
  </si>
  <si>
    <t>&gt;1"x1" IFU</t>
  </si>
  <si>
    <t>If this is our only companion sensitivity requirement could we consider not providiing an IFU?</t>
  </si>
  <si>
    <t>JHK</t>
  </si>
  <si>
    <r>
      <t xml:space="preserve">NIR imager, </t>
    </r>
    <r>
      <rPr>
        <i/>
        <sz val="10"/>
        <rFont val="Arial"/>
        <family val="2"/>
      </rPr>
      <t>NIR IFU</t>
    </r>
  </si>
  <si>
    <t>&gt;30% sky coverage</t>
  </si>
  <si>
    <t>IFU or narrow band filters</t>
  </si>
  <si>
    <t xml:space="preserve">Guide star finder tool.
PSF simulation tool (predict energy and width of central core to within 10%).  </t>
  </si>
  <si>
    <t>PSF calibration</t>
  </si>
  <si>
    <t>I-H bands</t>
  </si>
  <si>
    <t>I-K band</t>
  </si>
  <si>
    <t>Distortion map</t>
  </si>
  <si>
    <t>15" FOV</t>
  </si>
  <si>
    <t>50 mas at J</t>
  </si>
  <si>
    <t>R~5000</t>
  </si>
  <si>
    <t>J-K</t>
  </si>
  <si>
    <t>3" FOV IFU</t>
  </si>
  <si>
    <t>0.7-1.0 um</t>
  </si>
  <si>
    <t>3" FOV</t>
  </si>
  <si>
    <t>0.85-1.0um</t>
  </si>
  <si>
    <t>H&amp;K
R~1000</t>
  </si>
  <si>
    <t>Differential tracking</t>
  </si>
  <si>
    <t>Nyquist</t>
  </si>
  <si>
    <t>30" FOV at K</t>
  </si>
  <si>
    <t>Large IFU</t>
  </si>
  <si>
    <t>R&gt;3000</t>
  </si>
  <si>
    <t>5% sky coverage</t>
  </si>
  <si>
    <t>1x3" IFU</t>
  </si>
  <si>
    <t>0.8-2.4 um imaging
1.0-2.4 um IFU</t>
  </si>
  <si>
    <t>Potentially ~$90k for 2nd tier structure</t>
  </si>
  <si>
    <t>Reduce number of lenslets</t>
  </si>
  <si>
    <t>Cost Savings Groupings</t>
  </si>
  <si>
    <t>1a</t>
  </si>
  <si>
    <t>1b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</si>
</sst>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_(&quot;$&quot;* #,##0.0_);_(&quot;$&quot;* \(#,##0.0\);_(&quot;$&quot;* &quot;-&quot;?_);_(@_)"/>
    <numFmt numFmtId="171" formatCode="0.0%"/>
  </numFmts>
  <fonts count="32">
    <font>
      <sz val="10"/>
      <name val="Arial"/>
      <family val="0"/>
    </font>
    <font>
      <sz val="8"/>
      <name val="Arial"/>
      <family val="0"/>
    </font>
    <font>
      <u val="single"/>
      <sz val="10"/>
      <color indexed="36"/>
      <name val="Arial"/>
      <family val="0"/>
    </font>
    <font>
      <u val="single"/>
      <sz val="10"/>
      <color indexed="12"/>
      <name val="Arial"/>
      <family val="0"/>
    </font>
    <font>
      <sz val="10"/>
      <color indexed="8"/>
      <name val="Arial"/>
      <family val="2"/>
    </font>
    <font>
      <b/>
      <sz val="10"/>
      <name val="Arial"/>
      <family val="0"/>
    </font>
    <font>
      <b/>
      <sz val="10"/>
      <color indexed="8"/>
      <name val="Arial"/>
      <family val="0"/>
    </font>
    <font>
      <sz val="12"/>
      <name val="Times New Roman"/>
      <family val="1"/>
    </font>
    <font>
      <i/>
      <sz val="12"/>
      <name val="Times New Roman"/>
      <family val="1"/>
    </font>
    <font>
      <vertAlign val="superscript"/>
      <sz val="12"/>
      <name val="Times New Roman"/>
      <family val="1"/>
    </font>
    <font>
      <b/>
      <sz val="12"/>
      <name val="Times New Roman"/>
      <family val="1"/>
    </font>
    <font>
      <b/>
      <i/>
      <sz val="12"/>
      <name val="Times New Roman"/>
      <family val="1"/>
    </font>
    <font>
      <vertAlign val="subscript"/>
      <sz val="12"/>
      <name val="Times New Roman"/>
      <family val="1"/>
    </font>
    <font>
      <sz val="12"/>
      <name val="Symbol"/>
      <family val="1"/>
    </font>
    <font>
      <sz val="12"/>
      <name val="MS Mincho"/>
      <family val="3"/>
    </font>
    <font>
      <sz val="12"/>
      <color indexed="8"/>
      <name val="Times New Roman"/>
      <family val="1"/>
    </font>
    <font>
      <i/>
      <sz val="12"/>
      <color indexed="8"/>
      <name val="Times New Roman"/>
      <family val="1"/>
    </font>
    <font>
      <sz val="12"/>
      <color indexed="8"/>
      <name val="Symbol"/>
      <family val="1"/>
    </font>
    <font>
      <b/>
      <i/>
      <sz val="10"/>
      <name val="Arial"/>
      <family val="2"/>
    </font>
    <font>
      <i/>
      <sz val="10"/>
      <name val="Arial"/>
      <family val="0"/>
    </font>
    <font>
      <sz val="8"/>
      <name val="Tahoma"/>
      <family val="0"/>
    </font>
    <font>
      <b/>
      <sz val="8"/>
      <name val="Tahoma"/>
      <family val="0"/>
    </font>
    <font>
      <b/>
      <sz val="11.75"/>
      <name val="Arial"/>
      <family val="0"/>
    </font>
    <font>
      <sz val="9.75"/>
      <name val="Arial"/>
      <family val="0"/>
    </font>
    <font>
      <b/>
      <sz val="11.5"/>
      <name val="Arial"/>
      <family val="0"/>
    </font>
    <font>
      <b/>
      <sz val="9.75"/>
      <name val="Arial"/>
      <family val="0"/>
    </font>
    <font>
      <strike/>
      <sz val="10"/>
      <name val="Arial"/>
      <family val="2"/>
    </font>
    <font>
      <i/>
      <sz val="10"/>
      <color indexed="18"/>
      <name val="Arial"/>
      <family val="2"/>
    </font>
    <font>
      <sz val="10"/>
      <color indexed="18"/>
      <name val="Arial"/>
      <family val="2"/>
    </font>
    <font>
      <sz val="8.5"/>
      <name val="Arial"/>
      <family val="0"/>
    </font>
    <font>
      <b/>
      <sz val="8.5"/>
      <name val="Arial"/>
      <family val="0"/>
    </font>
    <font>
      <b/>
      <sz val="8"/>
      <name val="Arial"/>
      <family val="2"/>
    </font>
  </fonts>
  <fills count="8">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style="double"/>
      <right style="thin"/>
      <top>
        <color indexed="63"/>
      </top>
      <bottom style="thin"/>
    </border>
    <border>
      <left style="double"/>
      <right style="thin"/>
      <top>
        <color indexed="63"/>
      </top>
      <bottom>
        <color indexed="63"/>
      </bottom>
    </border>
    <border>
      <left style="double"/>
      <right>
        <color indexed="63"/>
      </right>
      <top>
        <color indexed="63"/>
      </top>
      <bottom style="thin"/>
    </border>
    <border>
      <left style="double"/>
      <right>
        <color indexed="63"/>
      </right>
      <top>
        <color indexed="63"/>
      </top>
      <bottom>
        <color indexed="63"/>
      </bottom>
    </border>
    <border>
      <left style="double"/>
      <right>
        <color indexed="63"/>
      </right>
      <top style="thin"/>
      <bottom style="thin"/>
    </border>
    <border>
      <left style="double"/>
      <right style="thin"/>
      <top style="thin"/>
      <bottom style="thin"/>
    </border>
    <border>
      <left>
        <color indexed="63"/>
      </left>
      <right style="double"/>
      <top>
        <color indexed="63"/>
      </top>
      <bottom>
        <color indexed="63"/>
      </bottom>
    </border>
    <border>
      <left style="thin"/>
      <right style="double"/>
      <top>
        <color indexed="63"/>
      </top>
      <bottom style="thin"/>
    </border>
    <border>
      <left style="thin"/>
      <right style="double"/>
      <top>
        <color indexed="63"/>
      </top>
      <bottom>
        <color indexed="63"/>
      </bottom>
    </border>
    <border>
      <left style="thin"/>
      <right style="double"/>
      <top style="thin"/>
      <bottom style="thin"/>
    </border>
    <border>
      <left style="double"/>
      <right style="double"/>
      <top>
        <color indexed="63"/>
      </top>
      <bottom style="thin"/>
    </border>
    <border>
      <left style="double"/>
      <right style="double"/>
      <top>
        <color indexed="63"/>
      </top>
      <bottom>
        <color indexed="63"/>
      </bottom>
    </border>
    <border>
      <left style="double"/>
      <right style="double"/>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61">
    <xf numFmtId="0" fontId="0" fillId="0" borderId="0" xfId="0" applyAlignment="1">
      <alignment/>
    </xf>
    <xf numFmtId="0" fontId="0" fillId="0" borderId="0" xfId="0" applyAlignment="1">
      <alignment horizontal="center"/>
    </xf>
    <xf numFmtId="0" fontId="0" fillId="0" borderId="0" xfId="0" applyAlignment="1">
      <alignment wrapText="1"/>
    </xf>
    <xf numFmtId="0" fontId="5" fillId="0" borderId="0" xfId="0" applyFont="1" applyFill="1" applyBorder="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xf>
    <xf numFmtId="0" fontId="6" fillId="2" borderId="0" xfId="21" applyFont="1" applyFill="1" applyBorder="1" applyAlignment="1">
      <alignment/>
      <protection/>
    </xf>
    <xf numFmtId="0" fontId="6" fillId="3" borderId="0" xfId="21" applyFont="1" applyFill="1" applyBorder="1" applyAlignment="1">
      <alignment/>
      <protection/>
    </xf>
    <xf numFmtId="0" fontId="0" fillId="2" borderId="0" xfId="0" applyFill="1" applyAlignment="1">
      <alignment/>
    </xf>
    <xf numFmtId="9" fontId="0" fillId="2" borderId="0" xfId="22" applyFill="1" applyAlignment="1">
      <alignment/>
    </xf>
    <xf numFmtId="1" fontId="5" fillId="2" borderId="0" xfId="0" applyNumberFormat="1" applyFont="1" applyFill="1" applyAlignment="1">
      <alignment/>
    </xf>
    <xf numFmtId="0" fontId="4" fillId="0" borderId="0" xfId="21" applyFont="1" applyFill="1" applyBorder="1" applyAlignment="1">
      <alignment/>
      <protection/>
    </xf>
    <xf numFmtId="1" fontId="0" fillId="0" borderId="0" xfId="0" applyNumberFormat="1" applyFill="1" applyAlignment="1">
      <alignment/>
    </xf>
    <xf numFmtId="164" fontId="0" fillId="0" borderId="0" xfId="0" applyNumberForma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4" fillId="0" borderId="0" xfId="21" applyFont="1" applyFill="1" applyBorder="1" applyAlignment="1">
      <alignment/>
      <protection/>
    </xf>
    <xf numFmtId="1" fontId="0" fillId="0" borderId="0" xfId="0" applyNumberFormat="1" applyAlignment="1">
      <alignment/>
    </xf>
    <xf numFmtId="164" fontId="0" fillId="0" borderId="0" xfId="0" applyNumberFormat="1" applyAlignment="1">
      <alignment/>
    </xf>
    <xf numFmtId="9" fontId="0" fillId="0" borderId="0" xfId="0" applyNumberFormat="1" applyAlignment="1">
      <alignment/>
    </xf>
    <xf numFmtId="0" fontId="4" fillId="0" borderId="0" xfId="21" applyFont="1" applyFill="1" applyBorder="1" applyAlignment="1">
      <alignment horizontal="right"/>
      <protection/>
    </xf>
    <xf numFmtId="0" fontId="4" fillId="0" borderId="0" xfId="21" applyFont="1" applyFill="1" applyBorder="1" applyAlignment="1" quotePrefix="1">
      <alignment horizontal="right"/>
      <protection/>
    </xf>
    <xf numFmtId="0" fontId="5" fillId="2"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0" fontId="6" fillId="0" borderId="0" xfId="21" applyFont="1" applyFill="1" applyBorder="1" applyAlignment="1">
      <alignment horizontal="right"/>
      <protection/>
    </xf>
    <xf numFmtId="9" fontId="5" fillId="2" borderId="0" xfId="22" applyFont="1" applyFill="1" applyAlignment="1">
      <alignment/>
    </xf>
    <xf numFmtId="0" fontId="10" fillId="0" borderId="0" xfId="0" applyFont="1" applyBorder="1" applyAlignment="1">
      <alignment horizontal="center" vertical="top" wrapText="1"/>
    </xf>
    <xf numFmtId="0" fontId="11" fillId="0" borderId="0" xfId="0" applyFont="1" applyBorder="1" applyAlignment="1">
      <alignment horizontal="center" vertical="top" wrapText="1"/>
    </xf>
    <xf numFmtId="0" fontId="7" fillId="0" borderId="0" xfId="0" applyFont="1" applyBorder="1" applyAlignment="1">
      <alignment horizontal="justify" vertical="top" wrapText="1"/>
    </xf>
    <xf numFmtId="0" fontId="8"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xf>
    <xf numFmtId="0" fontId="7" fillId="0" borderId="0" xfId="0" applyFont="1" applyBorder="1" applyAlignment="1" quotePrefix="1">
      <alignment horizontal="justify" vertical="top" wrapText="1"/>
    </xf>
    <xf numFmtId="2" fontId="7" fillId="0" borderId="0" xfId="0" applyNumberFormat="1" applyFont="1" applyBorder="1" applyAlignment="1">
      <alignment horizontal="justify" vertical="top" wrapText="1"/>
    </xf>
    <xf numFmtId="0" fontId="5" fillId="0" borderId="0" xfId="0" applyFont="1" applyAlignment="1">
      <alignment/>
    </xf>
    <xf numFmtId="0" fontId="7" fillId="0" borderId="0" xfId="0" applyFont="1" applyBorder="1" applyAlignment="1">
      <alignment vertical="top" wrapText="1"/>
    </xf>
    <xf numFmtId="0" fontId="0" fillId="0" borderId="0" xfId="0" applyBorder="1" applyAlignment="1">
      <alignment/>
    </xf>
    <xf numFmtId="0" fontId="10" fillId="0" borderId="0" xfId="0" applyFont="1" applyFill="1" applyBorder="1" applyAlignment="1">
      <alignment horizontal="left" vertical="top"/>
    </xf>
    <xf numFmtId="2" fontId="7" fillId="0" borderId="0" xfId="0" applyNumberFormat="1" applyFont="1" applyBorder="1" applyAlignment="1">
      <alignment horizontal="left" vertical="top" wrapText="1"/>
    </xf>
    <xf numFmtId="0" fontId="7" fillId="0" borderId="0" xfId="0" applyFont="1" applyBorder="1" applyAlignment="1" quotePrefix="1">
      <alignment horizontal="left" vertical="top" wrapText="1"/>
    </xf>
    <xf numFmtId="1" fontId="10" fillId="0" borderId="0" xfId="0" applyNumberFormat="1" applyFont="1" applyFill="1" applyBorder="1" applyAlignment="1">
      <alignment horizontal="left" vertical="top" wrapText="1"/>
    </xf>
    <xf numFmtId="0" fontId="15" fillId="0" borderId="0" xfId="0" applyFont="1" applyBorder="1" applyAlignment="1">
      <alignment horizontal="justify" vertical="top" wrapText="1"/>
    </xf>
    <xf numFmtId="0" fontId="15" fillId="0" borderId="0" xfId="0" applyFont="1" applyBorder="1" applyAlignment="1">
      <alignment horizontal="left" vertical="top" wrapText="1"/>
    </xf>
    <xf numFmtId="0" fontId="10" fillId="0" borderId="0" xfId="0" applyFont="1" applyFill="1" applyBorder="1" applyAlignment="1">
      <alignment horizontal="center" vertical="top" wrapText="1"/>
    </xf>
    <xf numFmtId="0" fontId="5" fillId="0" borderId="0" xfId="0" applyFont="1" applyAlignment="1">
      <alignment wrapText="1"/>
    </xf>
    <xf numFmtId="0" fontId="5" fillId="0" borderId="0" xfId="0" applyFont="1" applyAlignment="1">
      <alignment wrapText="1"/>
    </xf>
    <xf numFmtId="0" fontId="11" fillId="0" borderId="0" xfId="0" applyFont="1" applyFill="1" applyBorder="1" applyAlignment="1">
      <alignment vertical="top"/>
    </xf>
    <xf numFmtId="0" fontId="11" fillId="0" borderId="0" xfId="0" applyFont="1" applyFill="1" applyBorder="1" applyAlignment="1">
      <alignment horizontal="left" vertical="top" wrapText="1"/>
    </xf>
    <xf numFmtId="0" fontId="18" fillId="0" borderId="0" xfId="0" applyFont="1" applyBorder="1" applyAlignment="1">
      <alignment horizontal="center"/>
    </xf>
    <xf numFmtId="0" fontId="11" fillId="0" borderId="0" xfId="0" applyFont="1" applyFill="1" applyBorder="1" applyAlignment="1">
      <alignment horizontal="left" vertical="top"/>
    </xf>
    <xf numFmtId="1" fontId="11" fillId="0" borderId="0" xfId="0" applyNumberFormat="1" applyFont="1" applyFill="1" applyBorder="1" applyAlignment="1">
      <alignment horizontal="left" vertical="top" wrapText="1"/>
    </xf>
    <xf numFmtId="0" fontId="19" fillId="0" borderId="0" xfId="0" applyFont="1" applyBorder="1" applyAlignment="1">
      <alignment/>
    </xf>
    <xf numFmtId="0" fontId="19" fillId="0" borderId="0" xfId="0" applyFont="1" applyAlignment="1">
      <alignment wrapText="1"/>
    </xf>
    <xf numFmtId="0" fontId="19" fillId="0" borderId="0" xfId="0" applyFont="1" applyAlignment="1">
      <alignment/>
    </xf>
    <xf numFmtId="0" fontId="18" fillId="0" borderId="0" xfId="0" applyFont="1" applyBorder="1" applyAlignment="1">
      <alignment/>
    </xf>
    <xf numFmtId="0" fontId="18" fillId="0" borderId="0" xfId="0" applyFont="1" applyAlignment="1">
      <alignment wrapText="1"/>
    </xf>
    <xf numFmtId="0" fontId="18" fillId="0" borderId="0" xfId="0" applyFont="1" applyAlignment="1">
      <alignment/>
    </xf>
    <xf numFmtId="0" fontId="11" fillId="0" borderId="0" xfId="0" applyFont="1" applyFill="1" applyBorder="1" applyAlignment="1">
      <alignment vertical="top" wrapText="1"/>
    </xf>
    <xf numFmtId="1" fontId="11" fillId="0" borderId="0" xfId="0" applyNumberFormat="1" applyFont="1" applyFill="1" applyBorder="1" applyAlignment="1">
      <alignment horizontal="justify" vertical="top" wrapText="1"/>
    </xf>
    <xf numFmtId="0" fontId="11" fillId="0" borderId="0" xfId="0" applyFont="1" applyBorder="1" applyAlignment="1">
      <alignment horizontal="justify" vertical="top" wrapText="1"/>
    </xf>
    <xf numFmtId="0" fontId="5" fillId="0" borderId="0" xfId="0" applyFont="1" applyAlignment="1">
      <alignment horizontal="center"/>
    </xf>
    <xf numFmtId="0" fontId="5" fillId="0" borderId="0" xfId="0" applyFont="1" applyAlignment="1">
      <alignment/>
    </xf>
    <xf numFmtId="0" fontId="0" fillId="0" borderId="0" xfId="0" applyAlignment="1">
      <alignment horizontal="center" wrapText="1"/>
    </xf>
    <xf numFmtId="42" fontId="0" fillId="0" borderId="0" xfId="0" applyNumberFormat="1" applyAlignment="1">
      <alignment/>
    </xf>
    <xf numFmtId="0" fontId="0" fillId="0" borderId="1" xfId="0" applyBorder="1" applyAlignment="1">
      <alignment/>
    </xf>
    <xf numFmtId="0" fontId="5" fillId="0" borderId="1" xfId="0" applyFont="1" applyBorder="1" applyAlignment="1">
      <alignment/>
    </xf>
    <xf numFmtId="42" fontId="0" fillId="0" borderId="1" xfId="0" applyNumberFormat="1" applyBorder="1" applyAlignment="1">
      <alignment/>
    </xf>
    <xf numFmtId="0" fontId="5" fillId="0" borderId="2" xfId="0" applyFont="1" applyBorder="1" applyAlignment="1">
      <alignment/>
    </xf>
    <xf numFmtId="0" fontId="0" fillId="0" borderId="2" xfId="0" applyBorder="1" applyAlignment="1">
      <alignment/>
    </xf>
    <xf numFmtId="42" fontId="0" fillId="0" borderId="2"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xf>
    <xf numFmtId="42" fontId="0" fillId="0" borderId="0" xfId="0" applyNumberFormat="1" applyBorder="1" applyAlignment="1">
      <alignment/>
    </xf>
    <xf numFmtId="0" fontId="0" fillId="0" borderId="9" xfId="0" applyBorder="1" applyAlignment="1">
      <alignment/>
    </xf>
    <xf numFmtId="0" fontId="5" fillId="0" borderId="0" xfId="0" applyFont="1" applyBorder="1" applyAlignment="1">
      <alignment/>
    </xf>
    <xf numFmtId="0" fontId="0" fillId="4" borderId="6" xfId="0" applyFill="1" applyBorder="1" applyAlignment="1">
      <alignment/>
    </xf>
    <xf numFmtId="0" fontId="0" fillId="4" borderId="9" xfId="0" applyFill="1" applyBorder="1" applyAlignment="1">
      <alignment/>
    </xf>
    <xf numFmtId="0" fontId="0" fillId="5" borderId="6" xfId="0" applyFill="1" applyBorder="1" applyAlignment="1">
      <alignment/>
    </xf>
    <xf numFmtId="0" fontId="0" fillId="5" borderId="9" xfId="0" applyFill="1" applyBorder="1" applyAlignment="1">
      <alignment/>
    </xf>
    <xf numFmtId="0" fontId="0" fillId="6" borderId="6" xfId="0" applyFill="1" applyBorder="1" applyAlignment="1">
      <alignment/>
    </xf>
    <xf numFmtId="0" fontId="0" fillId="6" borderId="9" xfId="0" applyFill="1" applyBorder="1" applyAlignment="1">
      <alignment/>
    </xf>
    <xf numFmtId="0" fontId="0" fillId="0" borderId="10" xfId="0" applyBorder="1" applyAlignment="1">
      <alignment/>
    </xf>
    <xf numFmtId="42" fontId="0" fillId="0" borderId="11" xfId="0" applyNumberFormat="1" applyBorder="1" applyAlignment="1">
      <alignment/>
    </xf>
    <xf numFmtId="42" fontId="0" fillId="0" borderId="10" xfId="0" applyNumberFormat="1" applyBorder="1" applyAlignment="1">
      <alignment/>
    </xf>
    <xf numFmtId="4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5" fillId="0" borderId="0" xfId="0" applyFont="1" applyAlignment="1">
      <alignment/>
    </xf>
    <xf numFmtId="14" fontId="0" fillId="0" borderId="0" xfId="0" applyNumberFormat="1" applyAlignment="1">
      <alignment/>
    </xf>
    <xf numFmtId="0" fontId="5" fillId="0" borderId="0" xfId="0" applyFont="1" applyAlignment="1">
      <alignment horizontal="right"/>
    </xf>
    <xf numFmtId="0" fontId="0" fillId="0" borderId="0" xfId="0" applyFont="1" applyAlignment="1">
      <alignment horizontal="left"/>
    </xf>
    <xf numFmtId="1" fontId="5" fillId="0" borderId="0" xfId="0" applyNumberFormat="1" applyFont="1" applyAlignment="1">
      <alignment/>
    </xf>
    <xf numFmtId="0" fontId="0" fillId="0" borderId="0" xfId="0" applyAlignment="1">
      <alignment horizontal="right" wrapText="1"/>
    </xf>
    <xf numFmtId="164" fontId="0" fillId="0" borderId="0" xfId="0" applyNumberFormat="1" applyAlignment="1">
      <alignment wrapText="1"/>
    </xf>
    <xf numFmtId="0" fontId="0" fillId="0" borderId="0" xfId="0" applyFill="1" applyAlignment="1">
      <alignment wrapText="1"/>
    </xf>
    <xf numFmtId="0" fontId="5" fillId="0" borderId="0" xfId="0" applyFont="1" applyAlignment="1">
      <alignment horizontal="right" wrapText="1"/>
    </xf>
    <xf numFmtId="0" fontId="0" fillId="0" borderId="0" xfId="0" applyFill="1" applyAlignment="1">
      <alignment horizontal="center"/>
    </xf>
    <xf numFmtId="0" fontId="0" fillId="0" borderId="0" xfId="0" applyFill="1" applyAlignment="1">
      <alignment horizontal="center" wrapText="1"/>
    </xf>
    <xf numFmtId="164" fontId="5" fillId="0" borderId="0" xfId="0" applyNumberFormat="1" applyFont="1" applyAlignment="1">
      <alignment wrapText="1"/>
    </xf>
    <xf numFmtId="0" fontId="0" fillId="2" borderId="0" xfId="0" applyFill="1" applyAlignment="1">
      <alignment horizontal="center"/>
    </xf>
    <xf numFmtId="0" fontId="0" fillId="2" borderId="0" xfId="0" applyFill="1" applyAlignment="1">
      <alignment wrapText="1"/>
    </xf>
    <xf numFmtId="164" fontId="0" fillId="2" borderId="0" xfId="0" applyNumberFormat="1" applyFill="1" applyAlignment="1">
      <alignment wrapText="1"/>
    </xf>
    <xf numFmtId="0" fontId="0" fillId="0" borderId="0" xfId="0" applyAlignment="1">
      <alignment/>
    </xf>
    <xf numFmtId="171" fontId="0" fillId="0" borderId="0" xfId="0" applyNumberFormat="1" applyAlignment="1">
      <alignment/>
    </xf>
    <xf numFmtId="0" fontId="0" fillId="0" borderId="0" xfId="0" applyFont="1" applyAlignment="1">
      <alignment wrapText="1"/>
    </xf>
    <xf numFmtId="0" fontId="0" fillId="0" borderId="0" xfId="0" applyFont="1" applyAlignment="1">
      <alignment wrapText="1"/>
    </xf>
    <xf numFmtId="0" fontId="0" fillId="0" borderId="16" xfId="0" applyBorder="1" applyAlignment="1">
      <alignment/>
    </xf>
    <xf numFmtId="0" fontId="0" fillId="0" borderId="17" xfId="0" applyBorder="1" applyAlignment="1">
      <alignment horizontal="center"/>
    </xf>
    <xf numFmtId="0" fontId="5" fillId="0" borderId="16" xfId="0" applyFont="1" applyBorder="1" applyAlignment="1">
      <alignment wrapText="1"/>
    </xf>
    <xf numFmtId="0" fontId="0" fillId="0" borderId="16" xfId="0" applyBorder="1" applyAlignment="1">
      <alignment horizontal="center"/>
    </xf>
    <xf numFmtId="0" fontId="0" fillId="0" borderId="16" xfId="0" applyBorder="1" applyAlignment="1">
      <alignment wrapText="1"/>
    </xf>
    <xf numFmtId="0" fontId="15" fillId="0" borderId="0" xfId="0" applyFont="1" applyBorder="1" applyAlignment="1">
      <alignment horizontal="justify" vertical="top" wrapText="1"/>
    </xf>
    <xf numFmtId="0" fontId="15" fillId="0" borderId="0" xfId="0" applyFont="1" applyBorder="1" applyAlignment="1">
      <alignment horizontal="left" vertical="top" wrapText="1"/>
    </xf>
    <xf numFmtId="0" fontId="11" fillId="0" borderId="0" xfId="0" applyFont="1" applyBorder="1" applyAlignment="1">
      <alignment horizontal="justify" vertical="top"/>
    </xf>
    <xf numFmtId="0" fontId="19" fillId="0" borderId="0" xfId="0" applyFont="1" applyAlignment="1">
      <alignment horizontal="justify" vertical="top"/>
    </xf>
    <xf numFmtId="0" fontId="5" fillId="0" borderId="0" xfId="0" applyFont="1" applyAlignment="1">
      <alignment horizontal="center"/>
    </xf>
    <xf numFmtId="0" fontId="5" fillId="0" borderId="16" xfId="0" applyFont="1" applyBorder="1" applyAlignment="1">
      <alignment horizontal="left"/>
    </xf>
    <xf numFmtId="0" fontId="0" fillId="0" borderId="16" xfId="0" applyBorder="1" applyAlignment="1">
      <alignment/>
    </xf>
    <xf numFmtId="0" fontId="0" fillId="0" borderId="0" xfId="0" applyFont="1" applyFill="1" applyBorder="1" applyAlignment="1">
      <alignment wrapText="1"/>
    </xf>
    <xf numFmtId="0" fontId="27" fillId="0" borderId="0" xfId="0" applyFont="1" applyFill="1" applyBorder="1" applyAlignment="1">
      <alignment wrapText="1"/>
    </xf>
    <xf numFmtId="0" fontId="27" fillId="0" borderId="0" xfId="0" applyFont="1" applyAlignment="1">
      <alignment wrapText="1"/>
    </xf>
    <xf numFmtId="0" fontId="0" fillId="0" borderId="0" xfId="0" applyAlignment="1">
      <alignment wrapText="1"/>
    </xf>
    <xf numFmtId="0" fontId="28" fillId="0" borderId="0" xfId="0" applyFont="1" applyFill="1" applyBorder="1" applyAlignment="1">
      <alignment wrapText="1"/>
    </xf>
    <xf numFmtId="0" fontId="5" fillId="0" borderId="0" xfId="0" applyFont="1" applyAlignment="1">
      <alignment wrapText="1"/>
    </xf>
    <xf numFmtId="0" fontId="5" fillId="0" borderId="0" xfId="0" applyFont="1" applyAlignment="1">
      <alignment horizontal="left"/>
    </xf>
    <xf numFmtId="0" fontId="0" fillId="0" borderId="0" xfId="0" applyAlignment="1">
      <alignment/>
    </xf>
    <xf numFmtId="0" fontId="0" fillId="0" borderId="0" xfId="0" applyFill="1" applyBorder="1" applyAlignment="1">
      <alignment wrapText="1"/>
    </xf>
    <xf numFmtId="0" fontId="0" fillId="0" borderId="0" xfId="0" applyFont="1" applyAlignment="1">
      <alignment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 wrapText="1"/>
    </xf>
    <xf numFmtId="0" fontId="5" fillId="0" borderId="16" xfId="0" applyFont="1" applyBorder="1" applyAlignment="1">
      <alignment horizontal="center"/>
    </xf>
    <xf numFmtId="0" fontId="0" fillId="0" borderId="16" xfId="0" applyBorder="1" applyAlignment="1">
      <alignment horizontal="left"/>
    </xf>
    <xf numFmtId="0" fontId="0" fillId="0" borderId="16" xfId="0" applyBorder="1" applyAlignment="1">
      <alignment horizontal="center" wrapText="1"/>
    </xf>
    <xf numFmtId="0" fontId="0" fillId="0" borderId="2" xfId="0" applyBorder="1" applyAlignment="1">
      <alignment/>
    </xf>
    <xf numFmtId="0" fontId="0" fillId="0" borderId="18" xfId="0" applyBorder="1" applyAlignment="1">
      <alignment/>
    </xf>
    <xf numFmtId="0" fontId="5" fillId="0" borderId="16" xfId="0" applyFont="1" applyBorder="1" applyAlignment="1">
      <alignment horizontal="center" wrapText="1"/>
    </xf>
    <xf numFmtId="0" fontId="0" fillId="0" borderId="17" xfId="0" applyBorder="1" applyAlignment="1">
      <alignment horizontal="center" wrapText="1"/>
    </xf>
    <xf numFmtId="0" fontId="0" fillId="0" borderId="2" xfId="0" applyBorder="1" applyAlignment="1">
      <alignment horizontal="center"/>
    </xf>
    <xf numFmtId="0" fontId="0" fillId="0" borderId="18" xfId="0" applyBorder="1" applyAlignment="1">
      <alignment horizontal="center"/>
    </xf>
    <xf numFmtId="164" fontId="5" fillId="0" borderId="16" xfId="0" applyNumberFormat="1" applyFont="1" applyBorder="1" applyAlignment="1">
      <alignment horizontal="center"/>
    </xf>
    <xf numFmtId="164" fontId="0" fillId="0" borderId="16" xfId="0" applyNumberFormat="1" applyBorder="1" applyAlignment="1">
      <alignment horizontal="center"/>
    </xf>
    <xf numFmtId="0" fontId="0" fillId="7" borderId="16" xfId="0" applyFill="1" applyBorder="1" applyAlignment="1">
      <alignment/>
    </xf>
    <xf numFmtId="0" fontId="0" fillId="5" borderId="16" xfId="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NGAO Spending Profile</a:t>
            </a:r>
          </a:p>
        </c:rich>
      </c:tx>
      <c:layout/>
      <c:spPr>
        <a:noFill/>
        <a:ln>
          <a:noFill/>
        </a:ln>
      </c:spPr>
    </c:title>
    <c:plotArea>
      <c:layout>
        <c:manualLayout>
          <c:xMode val="edge"/>
          <c:yMode val="edge"/>
          <c:x val="0.05725"/>
          <c:y val="0.142"/>
          <c:w val="0.901"/>
          <c:h val="0.7685"/>
        </c:manualLayout>
      </c:layout>
      <c:lineChart>
        <c:grouping val="standard"/>
        <c:varyColors val="0"/>
        <c:ser>
          <c:idx val="0"/>
          <c:order val="0"/>
          <c:tx>
            <c:v>System</c:v>
          </c:tx>
          <c:extLst>
            <c:ext xmlns:c14="http://schemas.microsoft.com/office/drawing/2007/8/2/chart" uri="{6F2FDCE9-48DA-4B69-8628-5D25D57E5C99}">
              <c14:invertSolidFillFmt>
                <c14:spPr>
                  <a:solidFill>
                    <a:srgbClr val="000000"/>
                  </a:solidFill>
                </c14:spPr>
              </c14:invertSolidFillFmt>
            </c:ext>
          </c:extLst>
          <c:cat>
            <c:strRef>
              <c:f>'Cost Est (then-yr)'!$E$2:$M$2</c:f>
              <c:strCache/>
            </c:strRef>
          </c:cat>
          <c:val>
            <c:numRef>
              <c:f>'Cost Est (then-yr)'!$E$9:$M$9</c:f>
              <c:numCache>
                <c:ptCount val="9"/>
                <c:pt idx="0">
                  <c:v>0</c:v>
                </c:pt>
                <c:pt idx="1">
                  <c:v>0</c:v>
                </c:pt>
                <c:pt idx="2">
                  <c:v>0</c:v>
                </c:pt>
                <c:pt idx="3">
                  <c:v>0</c:v>
                </c:pt>
                <c:pt idx="4">
                  <c:v>0</c:v>
                </c:pt>
                <c:pt idx="5">
                  <c:v>0</c:v>
                </c:pt>
                <c:pt idx="6">
                  <c:v>0</c:v>
                </c:pt>
                <c:pt idx="7">
                  <c:v>0</c:v>
                </c:pt>
                <c:pt idx="8">
                  <c:v>0</c:v>
                </c:pt>
              </c:numCache>
            </c:numRef>
          </c:val>
          <c:smooth val="0"/>
        </c:ser>
        <c:ser>
          <c:idx val="1"/>
          <c:order val="1"/>
          <c:tx>
            <c:v>Instruments</c:v>
          </c:tx>
          <c:extLst>
            <c:ext xmlns:c14="http://schemas.microsoft.com/office/drawing/2007/8/2/chart" uri="{6F2FDCE9-48DA-4B69-8628-5D25D57E5C99}">
              <c14:invertSolidFillFmt>
                <c14:spPr>
                  <a:solidFill>
                    <a:srgbClr val="000000"/>
                  </a:solidFill>
                </c14:spPr>
              </c14:invertSolidFillFmt>
            </c:ext>
          </c:extLst>
          <c:cat>
            <c:strRef>
              <c:f>'Cost Est (then-yr)'!$E$2:$M$2</c:f>
              <c:strCache/>
            </c:strRef>
          </c:cat>
          <c:val>
            <c:numRef>
              <c:f>'Cost Est (then-yr)'!$E$14:$M$14</c:f>
              <c:numCache>
                <c:ptCount val="9"/>
                <c:pt idx="0">
                  <c:v>0</c:v>
                </c:pt>
                <c:pt idx="1">
                  <c:v>0</c:v>
                </c:pt>
                <c:pt idx="2">
                  <c:v>0</c:v>
                </c:pt>
                <c:pt idx="3">
                  <c:v>0</c:v>
                </c:pt>
                <c:pt idx="4">
                  <c:v>0</c:v>
                </c:pt>
                <c:pt idx="5">
                  <c:v>0</c:v>
                </c:pt>
                <c:pt idx="6">
                  <c:v>0</c:v>
                </c:pt>
                <c:pt idx="7">
                  <c:v>0</c:v>
                </c:pt>
                <c:pt idx="8">
                  <c:v>0</c:v>
                </c:pt>
              </c:numCache>
            </c:numRef>
          </c:val>
          <c:smooth val="0"/>
        </c:ser>
        <c:ser>
          <c:idx val="2"/>
          <c:order val="2"/>
          <c:tx>
            <c:v>Total</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'Cost Est (then-yr)'!$E$2:$M$2</c:f>
              <c:strCache/>
            </c:strRef>
          </c:cat>
          <c:val>
            <c:numRef>
              <c:f>'Cost Est (then-yr)'!$E$15:$M$15</c:f>
              <c:numCache>
                <c:ptCount val="9"/>
                <c:pt idx="0">
                  <c:v>0</c:v>
                </c:pt>
                <c:pt idx="1">
                  <c:v>0</c:v>
                </c:pt>
                <c:pt idx="2">
                  <c:v>0</c:v>
                </c:pt>
                <c:pt idx="3">
                  <c:v>0</c:v>
                </c:pt>
                <c:pt idx="4">
                  <c:v>0</c:v>
                </c:pt>
                <c:pt idx="5">
                  <c:v>0</c:v>
                </c:pt>
                <c:pt idx="6">
                  <c:v>0</c:v>
                </c:pt>
                <c:pt idx="7">
                  <c:v>0</c:v>
                </c:pt>
                <c:pt idx="8">
                  <c:v>0</c:v>
                </c:pt>
              </c:numCache>
            </c:numRef>
          </c:val>
          <c:smooth val="0"/>
        </c:ser>
        <c:marker val="1"/>
        <c:axId val="44982472"/>
        <c:axId val="2189065"/>
      </c:lineChart>
      <c:catAx>
        <c:axId val="44982472"/>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2189065"/>
        <c:crosses val="autoZero"/>
        <c:auto val="1"/>
        <c:lblOffset val="100"/>
        <c:noMultiLvlLbl val="0"/>
      </c:catAx>
      <c:valAx>
        <c:axId val="2189065"/>
        <c:scaling>
          <c:orientation val="minMax"/>
          <c:max val="20000"/>
        </c:scaling>
        <c:axPos val="l"/>
        <c:title>
          <c:tx>
            <c:rich>
              <a:bodyPr vert="horz" rot="-5400000" anchor="ctr"/>
              <a:lstStyle/>
              <a:p>
                <a:pPr algn="ctr">
                  <a:defRPr/>
                </a:pPr>
                <a:r>
                  <a:rPr lang="en-US" cap="none" sz="1000" b="1" i="0" u="none" baseline="0">
                    <a:latin typeface="Arial"/>
                    <a:ea typeface="Arial"/>
                    <a:cs typeface="Arial"/>
                  </a:rPr>
                  <a:t>Then-Year $k</a:t>
                </a:r>
              </a:p>
            </c:rich>
          </c:tx>
          <c:layout/>
          <c:overlay val="0"/>
          <c:spPr>
            <a:noFill/>
            <a:ln>
              <a:noFill/>
            </a:ln>
          </c:spPr>
        </c:title>
        <c:majorGridlines/>
        <c:delete val="0"/>
        <c:numFmt formatCode="General" sourceLinked="1"/>
        <c:majorTickMark val="out"/>
        <c:minorTickMark val="none"/>
        <c:tickLblPos val="nextTo"/>
        <c:crossAx val="44982472"/>
        <c:crossesAt val="1"/>
        <c:crossBetween val="between"/>
        <c:dispUnits/>
      </c:valAx>
      <c:spPr>
        <a:solidFill>
          <a:srgbClr val="C0C0C0"/>
        </a:solidFill>
        <a:ln w="12700">
          <a:solidFill>
            <a:srgbClr val="808080"/>
          </a:solidFill>
        </a:ln>
      </c:spPr>
    </c:plotArea>
    <c:legend>
      <c:legendPos val="r"/>
      <c:layout>
        <c:manualLayout>
          <c:xMode val="edge"/>
          <c:yMode val="edge"/>
          <c:x val="0.192"/>
          <c:y val="0.258"/>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5"/>
          <c:y val="0.033"/>
          <c:w val="0.8885"/>
          <c:h val="0.8615"/>
        </c:manualLayout>
      </c:layout>
      <c:scatterChart>
        <c:scatterStyle val="smoothMarker"/>
        <c:varyColors val="0"/>
        <c:ser>
          <c:idx val="0"/>
          <c:order val="0"/>
          <c:tx>
            <c:strRef>
              <c:f>'B2C Review tables'!$O$2</c:f>
              <c:strCache>
                <c:ptCount val="1"/>
                <c:pt idx="0">
                  <c:v>MOSFIRE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Pt>
            <c:idx val="5"/>
            <c:spPr>
              <a:ln w="3175">
                <a:noFill/>
              </a:ln>
            </c:spPr>
            <c:marker>
              <c:symbol val="auto"/>
            </c:marker>
          </c:dPt>
          <c:dPt>
            <c:idx val="6"/>
            <c:spPr>
              <a:ln w="3175">
                <a:noFill/>
              </a:ln>
            </c:spPr>
            <c:marker>
              <c:symbol val="auto"/>
            </c:marker>
          </c:dPt>
          <c:xVal>
            <c:numRef>
              <c:f>'B2C Review tables'!$N$3:$N$9</c:f>
              <c:numCache/>
            </c:numRef>
          </c:xVal>
          <c:yVal>
            <c:numRef>
              <c:f>'B2C Review tables'!$O$3:$O$9</c:f>
              <c:numCache/>
            </c:numRef>
          </c:yVal>
          <c:smooth val="1"/>
        </c:ser>
        <c:ser>
          <c:idx val="1"/>
          <c:order val="1"/>
          <c:tx>
            <c:strRef>
              <c:f>'B2C Review tables'!$P$2</c:f>
              <c:strCache>
                <c:ptCount val="1"/>
                <c:pt idx="0">
                  <c:v>H-4RG goal</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'B2C Review tables'!$N$3:$N$9</c:f>
              <c:numCache/>
            </c:numRef>
          </c:xVal>
          <c:yVal>
            <c:numRef>
              <c:f>'B2C Review tables'!$P$3:$P$9</c:f>
              <c:numCache/>
            </c:numRef>
          </c:yVal>
          <c:smooth val="1"/>
        </c:ser>
        <c:ser>
          <c:idx val="2"/>
          <c:order val="2"/>
          <c:tx>
            <c:strRef>
              <c:f>'B2C Review tables'!$Q$2</c:f>
              <c:strCache>
                <c:ptCount val="1"/>
                <c:pt idx="0">
                  <c:v>e2V meas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'B2C Review tables'!$N$3:$N$9</c:f>
              <c:numCache/>
            </c:numRef>
          </c:xVal>
          <c:yVal>
            <c:numRef>
              <c:f>'B2C Review tables'!$Q$3:$Q$9</c:f>
              <c:numCache/>
            </c:numRef>
          </c:yVal>
          <c:smooth val="1"/>
        </c:ser>
        <c:axId val="19701586"/>
        <c:axId val="43096547"/>
      </c:scatterChart>
      <c:valAx>
        <c:axId val="19701586"/>
        <c:scaling>
          <c:orientation val="minMax"/>
          <c:max val="2"/>
          <c:min val="0.75"/>
        </c:scaling>
        <c:axPos val="b"/>
        <c:title>
          <c:tx>
            <c:rich>
              <a:bodyPr vert="horz" rot="0" anchor="ctr"/>
              <a:lstStyle/>
              <a:p>
                <a:pPr algn="ctr">
                  <a:defRPr/>
                </a:pPr>
                <a:r>
                  <a:rPr lang="en-US" cap="none" sz="850" b="1" i="0" u="none" baseline="0">
                    <a:latin typeface="Arial"/>
                    <a:ea typeface="Arial"/>
                    <a:cs typeface="Arial"/>
                  </a:rPr>
                  <a:t>Wavelength (microns)</a:t>
                </a:r>
              </a:p>
            </c:rich>
          </c:tx>
          <c:layout/>
          <c:overlay val="0"/>
          <c:spPr>
            <a:noFill/>
            <a:ln>
              <a:noFill/>
            </a:ln>
          </c:spPr>
        </c:title>
        <c:delete val="0"/>
        <c:numFmt formatCode="General" sourceLinked="1"/>
        <c:majorTickMark val="out"/>
        <c:minorTickMark val="none"/>
        <c:tickLblPos val="nextTo"/>
        <c:crossAx val="43096547"/>
        <c:crosses val="autoZero"/>
        <c:crossBetween val="midCat"/>
        <c:dispUnits/>
        <c:majorUnit val="0.25"/>
      </c:valAx>
      <c:valAx>
        <c:axId val="43096547"/>
        <c:scaling>
          <c:orientation val="minMax"/>
          <c:min val="0.5"/>
        </c:scaling>
        <c:axPos val="l"/>
        <c:title>
          <c:tx>
            <c:rich>
              <a:bodyPr vert="horz" rot="-5400000" anchor="ctr"/>
              <a:lstStyle/>
              <a:p>
                <a:pPr algn="ctr">
                  <a:defRPr/>
                </a:pPr>
                <a:r>
                  <a:rPr lang="en-US" cap="none" sz="850" b="1" i="0" u="none" baseline="0">
                    <a:latin typeface="Arial"/>
                    <a:ea typeface="Arial"/>
                    <a:cs typeface="Arial"/>
                  </a:rPr>
                  <a:t>Quantum Efficiency</a:t>
                </a:r>
              </a:p>
            </c:rich>
          </c:tx>
          <c:layout/>
          <c:overlay val="0"/>
          <c:spPr>
            <a:noFill/>
            <a:ln>
              <a:noFill/>
            </a:ln>
          </c:spPr>
        </c:title>
        <c:majorGridlines/>
        <c:delete val="0"/>
        <c:numFmt formatCode="General" sourceLinked="1"/>
        <c:majorTickMark val="out"/>
        <c:minorTickMark val="none"/>
        <c:tickLblPos val="nextTo"/>
        <c:crossAx val="19701586"/>
        <c:crosses val="autoZero"/>
        <c:crossBetween val="midCat"/>
        <c:dispUnits/>
        <c:majorUnit val="0.1"/>
      </c:valAx>
      <c:spPr>
        <a:solidFill>
          <a:srgbClr val="C0C0C0"/>
        </a:solidFill>
        <a:ln w="12700">
          <a:solidFill>
            <a:srgbClr val="808080"/>
          </a:solidFill>
        </a:ln>
      </c:spPr>
    </c:plotArea>
    <c:legend>
      <c:legendPos val="r"/>
      <c:layout>
        <c:manualLayout>
          <c:xMode val="edge"/>
          <c:yMode val="edge"/>
          <c:x val="0.62475"/>
          <c:y val="0.534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NGAO Spending Profile with Descopes</a:t>
            </a:r>
          </a:p>
        </c:rich>
      </c:tx>
      <c:layout/>
      <c:spPr>
        <a:noFill/>
        <a:ln>
          <a:noFill/>
        </a:ln>
      </c:spPr>
    </c:title>
    <c:plotArea>
      <c:layout>
        <c:manualLayout>
          <c:xMode val="edge"/>
          <c:yMode val="edge"/>
          <c:x val="0.05725"/>
          <c:y val="0.14025"/>
          <c:w val="0.89825"/>
          <c:h val="0.76975"/>
        </c:manualLayout>
      </c:layout>
      <c:lineChart>
        <c:grouping val="standard"/>
        <c:varyColors val="0"/>
        <c:ser>
          <c:idx val="0"/>
          <c:order val="0"/>
          <c:tx>
            <c:v>System</c:v>
          </c:tx>
          <c:extLst>
            <c:ext xmlns:c14="http://schemas.microsoft.com/office/drawing/2007/8/2/chart" uri="{6F2FDCE9-48DA-4B69-8628-5D25D57E5C99}">
              <c14:invertSolidFillFmt>
                <c14:spPr>
                  <a:solidFill>
                    <a:srgbClr val="000000"/>
                  </a:solidFill>
                </c14:spPr>
              </c14:invertSolidFillFmt>
            </c:ext>
          </c:extLst>
          <c:cat>
            <c:strRef>
              <c:f>'Revised Est (then-yr)'!$E$2:$M$2</c:f>
              <c:strCache/>
            </c:strRef>
          </c:cat>
          <c:val>
            <c:numRef>
              <c:f>'Revised Est (then-yr)'!$E$9:$M$9</c:f>
              <c:numCache/>
            </c:numRef>
          </c:val>
          <c:smooth val="0"/>
        </c:ser>
        <c:ser>
          <c:idx val="1"/>
          <c:order val="1"/>
          <c:tx>
            <c:v>Instruments</c:v>
          </c:tx>
          <c:extLst>
            <c:ext xmlns:c14="http://schemas.microsoft.com/office/drawing/2007/8/2/chart" uri="{6F2FDCE9-48DA-4B69-8628-5D25D57E5C99}">
              <c14:invertSolidFillFmt>
                <c14:spPr>
                  <a:solidFill>
                    <a:srgbClr val="000000"/>
                  </a:solidFill>
                </c14:spPr>
              </c14:invertSolidFillFmt>
            </c:ext>
          </c:extLst>
          <c:cat>
            <c:strRef>
              <c:f>'Revised Est (then-yr)'!$E$2:$M$2</c:f>
              <c:strCache/>
            </c:strRef>
          </c:cat>
          <c:val>
            <c:numRef>
              <c:f>'Revised Est (then-yr)'!$E$14:$M$14</c:f>
              <c:numCache/>
            </c:numRef>
          </c:val>
          <c:smooth val="0"/>
        </c:ser>
        <c:ser>
          <c:idx val="2"/>
          <c:order val="2"/>
          <c:tx>
            <c:v>Total</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'Revised Est (then-yr)'!$E$2:$M$2</c:f>
              <c:strCache/>
            </c:strRef>
          </c:cat>
          <c:val>
            <c:numRef>
              <c:f>'Revised Est (then-yr)'!$E$15:$M$15</c:f>
              <c:numCache/>
            </c:numRef>
          </c:val>
          <c:smooth val="0"/>
        </c:ser>
        <c:marker val="1"/>
        <c:axId val="52324604"/>
        <c:axId val="1159389"/>
      </c:lineChart>
      <c:catAx>
        <c:axId val="52324604"/>
        <c:scaling>
          <c:orientation val="minMax"/>
        </c:scaling>
        <c:axPos val="b"/>
        <c:title>
          <c:tx>
            <c:rich>
              <a:bodyPr vert="horz" rot="0" anchor="ctr"/>
              <a:lstStyle/>
              <a:p>
                <a:pPr algn="ctr">
                  <a:defRPr/>
                </a:pPr>
                <a:r>
                  <a:rPr lang="en-US" cap="none" sz="9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1159389"/>
        <c:crosses val="autoZero"/>
        <c:auto val="1"/>
        <c:lblOffset val="100"/>
        <c:noMultiLvlLbl val="0"/>
      </c:catAx>
      <c:valAx>
        <c:axId val="1159389"/>
        <c:scaling>
          <c:orientation val="minMax"/>
        </c:scaling>
        <c:axPos val="l"/>
        <c:title>
          <c:tx>
            <c:rich>
              <a:bodyPr vert="horz" rot="-5400000" anchor="ctr"/>
              <a:lstStyle/>
              <a:p>
                <a:pPr algn="ctr">
                  <a:defRPr/>
                </a:pPr>
                <a:r>
                  <a:rPr lang="en-US" cap="none" sz="975" b="1" i="0" u="none" baseline="0">
                    <a:latin typeface="Arial"/>
                    <a:ea typeface="Arial"/>
                    <a:cs typeface="Arial"/>
                  </a:rPr>
                  <a:t>The-Year $k</a:t>
                </a:r>
              </a:p>
            </c:rich>
          </c:tx>
          <c:layout/>
          <c:overlay val="0"/>
          <c:spPr>
            <a:noFill/>
            <a:ln>
              <a:noFill/>
            </a:ln>
          </c:spPr>
        </c:title>
        <c:majorGridlines/>
        <c:delete val="0"/>
        <c:numFmt formatCode="General" sourceLinked="1"/>
        <c:majorTickMark val="out"/>
        <c:minorTickMark val="none"/>
        <c:tickLblPos val="nextTo"/>
        <c:crossAx val="52324604"/>
        <c:crossesAt val="1"/>
        <c:crossBetween val="between"/>
        <c:dispUnits/>
      </c:valAx>
      <c:spPr>
        <a:solidFill>
          <a:srgbClr val="C0C0C0"/>
        </a:solidFill>
        <a:ln w="12700">
          <a:solidFill>
            <a:srgbClr val="808080"/>
          </a:solidFill>
        </a:ln>
      </c:spPr>
    </c:plotArea>
    <c:legend>
      <c:legendPos val="r"/>
      <c:layout>
        <c:manualLayout>
          <c:xMode val="edge"/>
          <c:yMode val="edge"/>
          <c:x val="0.1835"/>
          <c:y val="0.246"/>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18</xdr:row>
      <xdr:rowOff>152400</xdr:rowOff>
    </xdr:from>
    <xdr:to>
      <xdr:col>13</xdr:col>
      <xdr:colOff>266700</xdr:colOff>
      <xdr:row>41</xdr:row>
      <xdr:rowOff>133350</xdr:rowOff>
    </xdr:to>
    <xdr:graphicFrame>
      <xdr:nvGraphicFramePr>
        <xdr:cNvPr id="1" name="Chart 4"/>
        <xdr:cNvGraphicFramePr/>
      </xdr:nvGraphicFramePr>
      <xdr:xfrm>
        <a:off x="2562225" y="3067050"/>
        <a:ext cx="5743575" cy="3705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16</xdr:row>
      <xdr:rowOff>47625</xdr:rowOff>
    </xdr:from>
    <xdr:to>
      <xdr:col>16</xdr:col>
      <xdr:colOff>238125</xdr:colOff>
      <xdr:row>33</xdr:row>
      <xdr:rowOff>104775</xdr:rowOff>
    </xdr:to>
    <xdr:graphicFrame>
      <xdr:nvGraphicFramePr>
        <xdr:cNvPr id="1" name="Chart 2"/>
        <xdr:cNvGraphicFramePr/>
      </xdr:nvGraphicFramePr>
      <xdr:xfrm>
        <a:off x="10267950" y="2800350"/>
        <a:ext cx="4171950" cy="2971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18</xdr:row>
      <xdr:rowOff>57150</xdr:rowOff>
    </xdr:from>
    <xdr:to>
      <xdr:col>13</xdr:col>
      <xdr:colOff>314325</xdr:colOff>
      <xdr:row>41</xdr:row>
      <xdr:rowOff>19050</xdr:rowOff>
    </xdr:to>
    <xdr:graphicFrame>
      <xdr:nvGraphicFramePr>
        <xdr:cNvPr id="1" name="Chart 9"/>
        <xdr:cNvGraphicFramePr/>
      </xdr:nvGraphicFramePr>
      <xdr:xfrm>
        <a:off x="2609850" y="2971800"/>
        <a:ext cx="574357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92"/>
  <sheetViews>
    <sheetView workbookViewId="0" topLeftCell="A60">
      <selection activeCell="C65" sqref="C65"/>
    </sheetView>
  </sheetViews>
  <sheetFormatPr defaultColWidth="9.140625" defaultRowHeight="12.75"/>
  <cols>
    <col min="1" max="1" width="6.140625" style="35" customWidth="1"/>
    <col min="2" max="4" width="25.7109375" style="35" customWidth="1"/>
    <col min="5" max="5" width="20.57421875" style="2" customWidth="1"/>
  </cols>
  <sheetData>
    <row r="1" spans="1:5" ht="31.5">
      <c r="A1" s="30" t="s">
        <v>710</v>
      </c>
      <c r="B1" s="30" t="s">
        <v>711</v>
      </c>
      <c r="C1" s="30" t="s">
        <v>712</v>
      </c>
      <c r="D1" s="30" t="s">
        <v>713</v>
      </c>
      <c r="E1" s="47" t="s">
        <v>411</v>
      </c>
    </row>
    <row r="2" spans="1:4" ht="15.75">
      <c r="A2" s="30"/>
      <c r="B2" s="30"/>
      <c r="C2" s="30"/>
      <c r="D2" s="30"/>
    </row>
    <row r="3" spans="1:5" ht="21" customHeight="1">
      <c r="A3" s="31">
        <v>1</v>
      </c>
      <c r="B3" s="51" t="s">
        <v>381</v>
      </c>
      <c r="C3" s="30"/>
      <c r="D3" s="52" t="s">
        <v>380</v>
      </c>
      <c r="E3" s="49"/>
    </row>
    <row r="4" spans="1:5" ht="157.5">
      <c r="A4" s="32">
        <v>1.1</v>
      </c>
      <c r="B4" s="33" t="s">
        <v>714</v>
      </c>
      <c r="C4" s="34" t="s">
        <v>727</v>
      </c>
      <c r="D4" s="32"/>
      <c r="E4" s="2" t="s">
        <v>360</v>
      </c>
    </row>
    <row r="5" spans="1:5" ht="110.25">
      <c r="A5" s="32">
        <v>1.2</v>
      </c>
      <c r="B5" s="33" t="s">
        <v>716</v>
      </c>
      <c r="C5" s="32" t="s">
        <v>715</v>
      </c>
      <c r="D5" s="34" t="s">
        <v>691</v>
      </c>
      <c r="E5" s="2" t="s">
        <v>361</v>
      </c>
    </row>
    <row r="6" spans="1:5" ht="126">
      <c r="A6" s="32">
        <v>1.3</v>
      </c>
      <c r="B6" s="34" t="s">
        <v>717</v>
      </c>
      <c r="C6" s="32" t="s">
        <v>718</v>
      </c>
      <c r="D6" s="32" t="s">
        <v>378</v>
      </c>
      <c r="E6" s="2" t="s">
        <v>379</v>
      </c>
    </row>
    <row r="7" spans="1:5" ht="47.25">
      <c r="A7" s="32">
        <v>1.4</v>
      </c>
      <c r="B7" s="34" t="s">
        <v>720</v>
      </c>
      <c r="C7" s="32"/>
      <c r="D7" s="32" t="s">
        <v>692</v>
      </c>
      <c r="E7" s="2" t="s">
        <v>887</v>
      </c>
    </row>
    <row r="8" spans="1:5" ht="47.25">
      <c r="A8" s="32">
        <v>1.5</v>
      </c>
      <c r="B8" s="34" t="s">
        <v>719</v>
      </c>
      <c r="C8" s="32" t="s">
        <v>693</v>
      </c>
      <c r="D8" s="32" t="s">
        <v>694</v>
      </c>
      <c r="E8" s="2" t="s">
        <v>383</v>
      </c>
    </row>
    <row r="9" spans="1:5" ht="94.5">
      <c r="A9" s="32">
        <v>1.6</v>
      </c>
      <c r="B9" s="34" t="s">
        <v>721</v>
      </c>
      <c r="C9" s="34" t="s">
        <v>695</v>
      </c>
      <c r="D9" s="32" t="s">
        <v>696</v>
      </c>
      <c r="E9" s="2" t="s">
        <v>384</v>
      </c>
    </row>
    <row r="10" spans="1:4" ht="47.25">
      <c r="A10" s="32">
        <v>1.7</v>
      </c>
      <c r="B10" s="34" t="s">
        <v>697</v>
      </c>
      <c r="C10" s="32" t="s">
        <v>698</v>
      </c>
      <c r="D10" s="32"/>
    </row>
    <row r="11" spans="1:5" ht="94.5">
      <c r="A11" s="32">
        <v>1.8</v>
      </c>
      <c r="B11" s="34" t="s">
        <v>722</v>
      </c>
      <c r="C11" s="34" t="s">
        <v>699</v>
      </c>
      <c r="D11" s="32" t="s">
        <v>700</v>
      </c>
      <c r="E11" s="2" t="s">
        <v>385</v>
      </c>
    </row>
    <row r="12" spans="1:4" ht="94.5">
      <c r="A12" s="32">
        <v>1.9</v>
      </c>
      <c r="B12" s="34" t="s">
        <v>723</v>
      </c>
      <c r="C12" s="32" t="s">
        <v>701</v>
      </c>
      <c r="D12" s="32"/>
    </row>
    <row r="13" spans="1:4" ht="141.75">
      <c r="A13" s="36" t="s">
        <v>724</v>
      </c>
      <c r="B13" s="34" t="s">
        <v>702</v>
      </c>
      <c r="C13" s="34" t="s">
        <v>703</v>
      </c>
      <c r="D13" s="32"/>
    </row>
    <row r="14" spans="1:5" ht="94.5">
      <c r="A14" s="37">
        <v>1.11</v>
      </c>
      <c r="B14" s="34" t="s">
        <v>725</v>
      </c>
      <c r="C14" s="34" t="s">
        <v>704</v>
      </c>
      <c r="D14" s="32"/>
      <c r="E14" s="2" t="s">
        <v>386</v>
      </c>
    </row>
    <row r="15" spans="1:4" ht="47.25">
      <c r="A15" s="37">
        <v>1.12</v>
      </c>
      <c r="B15" s="34" t="s">
        <v>705</v>
      </c>
      <c r="C15" s="32"/>
      <c r="D15" s="32"/>
    </row>
    <row r="16" spans="1:4" ht="47.25">
      <c r="A16" s="37">
        <v>1.13</v>
      </c>
      <c r="B16" s="34" t="s">
        <v>706</v>
      </c>
      <c r="C16" s="32"/>
      <c r="D16" s="32"/>
    </row>
    <row r="17" spans="1:4" ht="31.5">
      <c r="A17" s="37">
        <v>1.14</v>
      </c>
      <c r="B17" s="34" t="s">
        <v>707</v>
      </c>
      <c r="C17" s="32"/>
      <c r="D17" s="32"/>
    </row>
    <row r="18" spans="1:4" ht="78.75">
      <c r="A18" s="37">
        <v>1.15</v>
      </c>
      <c r="B18" s="34" t="s">
        <v>708</v>
      </c>
      <c r="C18" s="32"/>
      <c r="D18" s="32"/>
    </row>
    <row r="19" spans="1:5" ht="63">
      <c r="A19" s="37">
        <v>1.16</v>
      </c>
      <c r="B19" s="34" t="s">
        <v>726</v>
      </c>
      <c r="C19" s="32"/>
      <c r="D19" s="32"/>
      <c r="E19" s="2" t="s">
        <v>387</v>
      </c>
    </row>
    <row r="20" spans="1:4" ht="15.75">
      <c r="A20" s="37"/>
      <c r="B20" s="34"/>
      <c r="C20" s="32"/>
      <c r="D20" s="32"/>
    </row>
    <row r="21" spans="1:5" s="38" customFormat="1" ht="15.75">
      <c r="A21" s="62">
        <v>2</v>
      </c>
      <c r="B21" s="51" t="s">
        <v>728</v>
      </c>
      <c r="C21" s="4"/>
      <c r="D21" s="52" t="s">
        <v>363</v>
      </c>
      <c r="E21" s="48"/>
    </row>
    <row r="22" spans="1:4" ht="63">
      <c r="A22" s="39">
        <v>2.1</v>
      </c>
      <c r="B22" s="39" t="s">
        <v>737</v>
      </c>
      <c r="C22" s="39"/>
      <c r="D22" s="39"/>
    </row>
    <row r="23" spans="1:5" ht="47.25">
      <c r="A23" s="39">
        <v>2.2</v>
      </c>
      <c r="B23" s="39" t="s">
        <v>738</v>
      </c>
      <c r="C23" s="39"/>
      <c r="D23" s="39"/>
      <c r="E23" s="2" t="s">
        <v>388</v>
      </c>
    </row>
    <row r="24" spans="1:5" ht="110.25">
      <c r="A24" s="39">
        <v>2.3</v>
      </c>
      <c r="B24" s="39" t="s">
        <v>739</v>
      </c>
      <c r="C24" s="39" t="s">
        <v>730</v>
      </c>
      <c r="D24" s="39" t="s">
        <v>731</v>
      </c>
      <c r="E24" s="2" t="s">
        <v>389</v>
      </c>
    </row>
    <row r="25" spans="1:5" ht="94.5">
      <c r="A25" s="39">
        <v>2.4</v>
      </c>
      <c r="B25" s="39" t="s">
        <v>740</v>
      </c>
      <c r="C25" s="39"/>
      <c r="D25" s="39" t="s">
        <v>732</v>
      </c>
      <c r="E25" s="2" t="s">
        <v>390</v>
      </c>
    </row>
    <row r="26" spans="1:4" ht="141.75">
      <c r="A26" s="39">
        <v>2.5</v>
      </c>
      <c r="B26" s="39" t="s">
        <v>741</v>
      </c>
      <c r="C26" s="39" t="s">
        <v>733</v>
      </c>
      <c r="D26" s="39" t="s">
        <v>734</v>
      </c>
    </row>
    <row r="27" spans="1:4" ht="94.5">
      <c r="A27" s="39">
        <v>2.6</v>
      </c>
      <c r="B27" s="39" t="s">
        <v>735</v>
      </c>
      <c r="C27" s="39"/>
      <c r="D27" s="39"/>
    </row>
    <row r="28" spans="1:4" ht="31.5">
      <c r="A28" s="39">
        <v>2.7</v>
      </c>
      <c r="B28" s="39" t="s">
        <v>736</v>
      </c>
      <c r="C28" s="39"/>
      <c r="D28" s="39"/>
    </row>
    <row r="30" spans="1:4" ht="15.75">
      <c r="A30" s="61" t="s">
        <v>759</v>
      </c>
      <c r="B30" s="50" t="s">
        <v>758</v>
      </c>
      <c r="C30" s="40"/>
      <c r="D30" s="52" t="s">
        <v>364</v>
      </c>
    </row>
    <row r="31" spans="1:5" ht="267.75">
      <c r="A31" s="34" t="s">
        <v>742</v>
      </c>
      <c r="B31" s="33" t="s">
        <v>751</v>
      </c>
      <c r="C31" s="34" t="s">
        <v>753</v>
      </c>
      <c r="D31" s="34" t="s">
        <v>752</v>
      </c>
      <c r="E31" s="2" t="s">
        <v>391</v>
      </c>
    </row>
    <row r="32" spans="1:4" ht="47.25">
      <c r="A32" s="34" t="s">
        <v>743</v>
      </c>
      <c r="B32" s="34" t="s">
        <v>754</v>
      </c>
      <c r="C32" s="34" t="s">
        <v>744</v>
      </c>
      <c r="D32" s="34"/>
    </row>
    <row r="33" spans="1:5" ht="31.5">
      <c r="A33" s="34" t="s">
        <v>745</v>
      </c>
      <c r="B33" s="34" t="s">
        <v>755</v>
      </c>
      <c r="C33" s="34" t="s">
        <v>746</v>
      </c>
      <c r="D33" s="34"/>
      <c r="E33" s="2" t="s">
        <v>392</v>
      </c>
    </row>
    <row r="34" spans="1:4" ht="94.5">
      <c r="A34" s="34" t="s">
        <v>747</v>
      </c>
      <c r="B34" s="34" t="s">
        <v>756</v>
      </c>
      <c r="C34" s="34"/>
      <c r="D34" s="34"/>
    </row>
    <row r="35" spans="1:4" ht="94.5">
      <c r="A35" s="34" t="s">
        <v>748</v>
      </c>
      <c r="B35" s="34" t="s">
        <v>749</v>
      </c>
      <c r="C35" s="34"/>
      <c r="D35" s="34"/>
    </row>
    <row r="36" spans="1:5" ht="94.5">
      <c r="A36" s="34" t="s">
        <v>750</v>
      </c>
      <c r="B36" s="34" t="s">
        <v>757</v>
      </c>
      <c r="C36" s="34"/>
      <c r="D36" s="34"/>
      <c r="E36" s="2" t="s">
        <v>393</v>
      </c>
    </row>
    <row r="37" spans="1:4" ht="15.75">
      <c r="A37" s="34"/>
      <c r="B37" s="34"/>
      <c r="C37" s="34"/>
      <c r="D37" s="34"/>
    </row>
    <row r="38" spans="1:5" s="57" customFormat="1" ht="15.75">
      <c r="A38" s="61" t="s">
        <v>760</v>
      </c>
      <c r="B38" s="50" t="s">
        <v>761</v>
      </c>
      <c r="C38" s="55"/>
      <c r="D38" s="52" t="s">
        <v>362</v>
      </c>
      <c r="E38" s="56"/>
    </row>
    <row r="39" spans="1:5" ht="110.25">
      <c r="A39" s="32" t="s">
        <v>762</v>
      </c>
      <c r="B39" s="33" t="s">
        <v>773</v>
      </c>
      <c r="C39" s="34" t="s">
        <v>771</v>
      </c>
      <c r="D39" s="34" t="s">
        <v>772</v>
      </c>
      <c r="E39" s="2" t="s">
        <v>885</v>
      </c>
    </row>
    <row r="40" spans="1:4" ht="31.5">
      <c r="A40" s="32" t="s">
        <v>763</v>
      </c>
      <c r="B40" s="34" t="s">
        <v>774</v>
      </c>
      <c r="C40" s="34" t="s">
        <v>764</v>
      </c>
      <c r="D40" s="32"/>
    </row>
    <row r="41" spans="1:5" ht="78.75">
      <c r="A41" s="32" t="s">
        <v>765</v>
      </c>
      <c r="B41" s="34" t="s">
        <v>775</v>
      </c>
      <c r="C41" s="34"/>
      <c r="D41" s="32" t="s">
        <v>766</v>
      </c>
      <c r="E41" s="2" t="s">
        <v>888</v>
      </c>
    </row>
    <row r="42" spans="1:5" ht="31.5">
      <c r="A42" s="32" t="s">
        <v>767</v>
      </c>
      <c r="B42" s="34" t="s">
        <v>776</v>
      </c>
      <c r="C42" s="34"/>
      <c r="D42" s="32" t="s">
        <v>768</v>
      </c>
      <c r="E42" s="2" t="s">
        <v>889</v>
      </c>
    </row>
    <row r="43" spans="1:4" ht="94.5">
      <c r="A43" s="32" t="s">
        <v>769</v>
      </c>
      <c r="B43" s="34" t="s">
        <v>749</v>
      </c>
      <c r="C43" s="34"/>
      <c r="D43" s="32"/>
    </row>
    <row r="44" spans="1:4" ht="63">
      <c r="A44" s="32" t="s">
        <v>770</v>
      </c>
      <c r="B44" s="34" t="s">
        <v>777</v>
      </c>
      <c r="C44" s="34"/>
      <c r="D44" s="32"/>
    </row>
    <row r="46" spans="1:5" s="60" customFormat="1" ht="15.75">
      <c r="A46" s="58">
        <v>4</v>
      </c>
      <c r="B46" s="53" t="s">
        <v>778</v>
      </c>
      <c r="C46" s="58"/>
      <c r="D46" s="52" t="s">
        <v>892</v>
      </c>
      <c r="E46" s="59"/>
    </row>
    <row r="47" spans="1:4" ht="141.75">
      <c r="A47" s="34">
        <v>4.1</v>
      </c>
      <c r="B47" s="34" t="s">
        <v>71</v>
      </c>
      <c r="C47" s="34" t="s">
        <v>779</v>
      </c>
      <c r="D47" s="34" t="s">
        <v>792</v>
      </c>
    </row>
    <row r="48" spans="1:4" ht="141.75">
      <c r="A48" s="34">
        <v>4.2</v>
      </c>
      <c r="B48" s="34" t="s">
        <v>75</v>
      </c>
      <c r="C48" s="34" t="s">
        <v>793</v>
      </c>
      <c r="D48" s="34" t="s">
        <v>76</v>
      </c>
    </row>
    <row r="49" spans="1:4" ht="220.5">
      <c r="A49" s="34">
        <v>4.3</v>
      </c>
      <c r="B49" s="34" t="s">
        <v>794</v>
      </c>
      <c r="C49" s="34" t="s">
        <v>795</v>
      </c>
      <c r="D49" s="34" t="s">
        <v>77</v>
      </c>
    </row>
    <row r="50" spans="1:5" ht="223.5" customHeight="1">
      <c r="A50" s="34">
        <v>4.4</v>
      </c>
      <c r="B50" s="34" t="s">
        <v>78</v>
      </c>
      <c r="C50" s="34" t="s">
        <v>796</v>
      </c>
      <c r="D50" s="34" t="s">
        <v>79</v>
      </c>
      <c r="E50" s="2" t="s">
        <v>890</v>
      </c>
    </row>
    <row r="51" spans="1:5" ht="346.5">
      <c r="A51" s="34">
        <v>4.5</v>
      </c>
      <c r="B51" s="34" t="s">
        <v>80</v>
      </c>
      <c r="C51" s="34" t="s">
        <v>797</v>
      </c>
      <c r="D51" s="34" t="s">
        <v>81</v>
      </c>
      <c r="E51" s="2" t="s">
        <v>382</v>
      </c>
    </row>
    <row r="52" spans="1:4" ht="267.75">
      <c r="A52" s="34">
        <v>4.6</v>
      </c>
      <c r="B52" s="34" t="s">
        <v>82</v>
      </c>
      <c r="C52" s="34" t="s">
        <v>798</v>
      </c>
      <c r="D52" s="34" t="s">
        <v>799</v>
      </c>
    </row>
    <row r="53" spans="1:4" ht="141.75">
      <c r="A53" s="34">
        <v>4.7</v>
      </c>
      <c r="B53" s="33" t="s">
        <v>83</v>
      </c>
      <c r="C53" s="34" t="s">
        <v>800</v>
      </c>
      <c r="D53" s="34"/>
    </row>
    <row r="54" spans="1:4" ht="204.75">
      <c r="A54" s="34">
        <v>4.8</v>
      </c>
      <c r="B54" s="34" t="s">
        <v>84</v>
      </c>
      <c r="C54" s="34" t="s">
        <v>801</v>
      </c>
      <c r="D54" s="34" t="s">
        <v>802</v>
      </c>
    </row>
    <row r="55" spans="1:4" ht="267.75">
      <c r="A55" s="34">
        <v>4.9</v>
      </c>
      <c r="B55" s="34" t="s">
        <v>87</v>
      </c>
      <c r="C55" s="34" t="s">
        <v>85</v>
      </c>
      <c r="D55" s="34" t="s">
        <v>86</v>
      </c>
    </row>
    <row r="56" spans="1:4" ht="220.5">
      <c r="A56" s="43" t="s">
        <v>88</v>
      </c>
      <c r="B56" s="34" t="s">
        <v>89</v>
      </c>
      <c r="C56" s="34" t="s">
        <v>90</v>
      </c>
      <c r="D56" s="34"/>
    </row>
    <row r="57" spans="1:5" ht="94.5">
      <c r="A57" s="42">
        <v>4.11</v>
      </c>
      <c r="B57" s="34" t="s">
        <v>91</v>
      </c>
      <c r="C57" s="34" t="s">
        <v>803</v>
      </c>
      <c r="D57" s="34" t="s">
        <v>804</v>
      </c>
      <c r="E57" s="2" t="s">
        <v>891</v>
      </c>
    </row>
    <row r="58" spans="1:5" ht="126">
      <c r="A58" s="42">
        <v>4.12</v>
      </c>
      <c r="B58" s="34" t="s">
        <v>805</v>
      </c>
      <c r="C58" s="34" t="s">
        <v>806</v>
      </c>
      <c r="D58" s="34" t="s">
        <v>807</v>
      </c>
      <c r="E58" s="2" t="s">
        <v>896</v>
      </c>
    </row>
    <row r="59" spans="1:4" ht="63">
      <c r="A59" s="42">
        <v>4.13</v>
      </c>
      <c r="B59" s="34" t="s">
        <v>92</v>
      </c>
      <c r="C59" s="34"/>
      <c r="D59" s="34" t="s">
        <v>808</v>
      </c>
    </row>
    <row r="60" spans="1:5" ht="157.5">
      <c r="A60" s="42">
        <v>4.14</v>
      </c>
      <c r="B60" s="34" t="s">
        <v>93</v>
      </c>
      <c r="C60" s="34"/>
      <c r="D60" s="34" t="s">
        <v>94</v>
      </c>
      <c r="E60" s="2" t="s">
        <v>894</v>
      </c>
    </row>
    <row r="61" spans="1:5" ht="204.75">
      <c r="A61" s="42">
        <v>4.15</v>
      </c>
      <c r="B61" s="34" t="s">
        <v>95</v>
      </c>
      <c r="C61" s="34" t="s">
        <v>809</v>
      </c>
      <c r="D61" s="34"/>
      <c r="E61" s="2" t="s">
        <v>893</v>
      </c>
    </row>
    <row r="62" spans="1:4" ht="63">
      <c r="A62" s="42">
        <v>4.16</v>
      </c>
      <c r="B62" s="34" t="s">
        <v>810</v>
      </c>
      <c r="C62" s="34"/>
      <c r="D62" s="34"/>
    </row>
    <row r="64" spans="1:5" s="60" customFormat="1" ht="15.75">
      <c r="A64" s="54">
        <v>5</v>
      </c>
      <c r="B64" s="53" t="s">
        <v>96</v>
      </c>
      <c r="C64" s="58"/>
      <c r="D64" s="52" t="s">
        <v>365</v>
      </c>
      <c r="E64" s="59"/>
    </row>
    <row r="65" spans="1:4" ht="330.75">
      <c r="A65" s="45">
        <v>5.1</v>
      </c>
      <c r="B65" s="46" t="s">
        <v>97</v>
      </c>
      <c r="C65" s="46" t="s">
        <v>98</v>
      </c>
      <c r="D65" s="45" t="s">
        <v>99</v>
      </c>
    </row>
    <row r="66" spans="1:4" ht="141.75">
      <c r="A66" s="45">
        <v>5.2</v>
      </c>
      <c r="B66" s="46" t="s">
        <v>100</v>
      </c>
      <c r="C66" s="46"/>
      <c r="D66" s="46" t="s">
        <v>101</v>
      </c>
    </row>
    <row r="67" spans="1:4" ht="94.5">
      <c r="A67" s="45">
        <v>5.3</v>
      </c>
      <c r="B67" s="46" t="s">
        <v>102</v>
      </c>
      <c r="C67" s="45" t="s">
        <v>103</v>
      </c>
      <c r="D67" s="45"/>
    </row>
    <row r="68" spans="1:4" ht="126">
      <c r="A68" s="45">
        <v>5.4</v>
      </c>
      <c r="B68" s="46" t="s">
        <v>104</v>
      </c>
      <c r="C68" s="46"/>
      <c r="D68" s="46" t="s">
        <v>105</v>
      </c>
    </row>
    <row r="69" spans="1:4" ht="112.5" customHeight="1">
      <c r="A69" s="128">
        <v>5.5</v>
      </c>
      <c r="B69" s="129" t="s">
        <v>106</v>
      </c>
      <c r="C69" s="129"/>
      <c r="D69" s="129" t="s">
        <v>107</v>
      </c>
    </row>
    <row r="70" spans="1:4" ht="12.75">
      <c r="A70" s="128"/>
      <c r="B70" s="129"/>
      <c r="C70" s="129"/>
      <c r="D70" s="129"/>
    </row>
    <row r="71" spans="1:4" ht="31.5">
      <c r="A71" s="45">
        <v>5.6</v>
      </c>
      <c r="B71" s="46" t="s">
        <v>108</v>
      </c>
      <c r="C71" s="46" t="s">
        <v>109</v>
      </c>
      <c r="D71" s="46" t="s">
        <v>110</v>
      </c>
    </row>
    <row r="72" spans="1:4" ht="78" customHeight="1">
      <c r="A72" s="45">
        <v>5.7</v>
      </c>
      <c r="B72" s="46" t="s">
        <v>111</v>
      </c>
      <c r="C72" s="46" t="s">
        <v>895</v>
      </c>
      <c r="D72" s="46"/>
    </row>
    <row r="73" spans="1:5" ht="126">
      <c r="A73" s="45">
        <v>5.8</v>
      </c>
      <c r="B73" s="46" t="s">
        <v>112</v>
      </c>
      <c r="C73" s="46" t="s">
        <v>113</v>
      </c>
      <c r="D73" s="46" t="s">
        <v>114</v>
      </c>
      <c r="E73" s="2" t="s">
        <v>896</v>
      </c>
    </row>
    <row r="74" spans="1:4" ht="110.25">
      <c r="A74" s="45">
        <v>5.9</v>
      </c>
      <c r="B74" s="46" t="s">
        <v>115</v>
      </c>
      <c r="C74" s="46" t="s">
        <v>116</v>
      </c>
      <c r="D74" s="45"/>
    </row>
    <row r="76" spans="1:5" s="57" customFormat="1" ht="15.75">
      <c r="A76" s="54">
        <v>6</v>
      </c>
      <c r="B76" s="53" t="s">
        <v>117</v>
      </c>
      <c r="C76" s="55"/>
      <c r="D76" s="52" t="s">
        <v>365</v>
      </c>
      <c r="E76" s="56"/>
    </row>
    <row r="77" spans="1:4" ht="31.5">
      <c r="A77" s="32">
        <v>6.1</v>
      </c>
      <c r="B77" s="34" t="s">
        <v>118</v>
      </c>
      <c r="C77" s="34" t="s">
        <v>119</v>
      </c>
      <c r="D77" s="34" t="s">
        <v>120</v>
      </c>
    </row>
    <row r="78" spans="1:4" ht="141.75">
      <c r="A78" s="32">
        <v>6.2</v>
      </c>
      <c r="B78" s="34" t="s">
        <v>121</v>
      </c>
      <c r="C78" s="34"/>
      <c r="D78" s="32" t="s">
        <v>122</v>
      </c>
    </row>
    <row r="79" spans="1:4" ht="31.5">
      <c r="A79" s="32">
        <v>6.3</v>
      </c>
      <c r="B79" s="33" t="s">
        <v>123</v>
      </c>
      <c r="C79" s="32" t="s">
        <v>124</v>
      </c>
      <c r="D79" s="32"/>
    </row>
    <row r="80" spans="1:4" ht="110.25">
      <c r="A80" s="32">
        <v>6.4</v>
      </c>
      <c r="B80" s="34" t="s">
        <v>125</v>
      </c>
      <c r="C80" s="34" t="s">
        <v>126</v>
      </c>
      <c r="D80" s="34" t="s">
        <v>127</v>
      </c>
    </row>
    <row r="81" spans="1:4" ht="141.75">
      <c r="A81" s="32">
        <v>6.5</v>
      </c>
      <c r="B81" s="34" t="s">
        <v>128</v>
      </c>
      <c r="C81" s="32" t="s">
        <v>129</v>
      </c>
      <c r="D81" s="32"/>
    </row>
    <row r="82" spans="1:5" ht="110.25">
      <c r="A82" s="32">
        <v>6.6</v>
      </c>
      <c r="B82" s="34" t="s">
        <v>130</v>
      </c>
      <c r="C82" s="32"/>
      <c r="D82" s="32" t="s">
        <v>131</v>
      </c>
      <c r="E82" s="2" t="s">
        <v>897</v>
      </c>
    </row>
    <row r="83" spans="1:4" ht="31.5">
      <c r="A83" s="32">
        <v>6.7</v>
      </c>
      <c r="B83" s="34" t="s">
        <v>132</v>
      </c>
      <c r="C83" s="34"/>
      <c r="D83" s="32" t="s">
        <v>133</v>
      </c>
    </row>
    <row r="84" spans="1:4" ht="15.75">
      <c r="A84" s="32">
        <v>6.8</v>
      </c>
      <c r="B84" s="34" t="s">
        <v>134</v>
      </c>
      <c r="C84" s="34" t="s">
        <v>134</v>
      </c>
      <c r="D84" s="34" t="s">
        <v>134</v>
      </c>
    </row>
    <row r="85" spans="1:4" ht="15.75">
      <c r="A85" s="32">
        <v>6.9</v>
      </c>
      <c r="B85" s="34" t="s">
        <v>135</v>
      </c>
      <c r="C85" s="34" t="s">
        <v>135</v>
      </c>
      <c r="D85" s="34"/>
    </row>
    <row r="86" spans="1:4" ht="15.75">
      <c r="A86" s="36" t="s">
        <v>140</v>
      </c>
      <c r="B86" s="34" t="s">
        <v>136</v>
      </c>
      <c r="C86" s="34" t="s">
        <v>137</v>
      </c>
      <c r="D86" s="34"/>
    </row>
    <row r="87" spans="1:4" ht="47.25">
      <c r="A87" s="37">
        <v>6.11</v>
      </c>
      <c r="B87" s="34" t="s">
        <v>138</v>
      </c>
      <c r="C87" s="32" t="s">
        <v>139</v>
      </c>
      <c r="D87" s="32"/>
    </row>
    <row r="89" spans="1:4" ht="15.75">
      <c r="A89" s="44">
        <v>7</v>
      </c>
      <c r="B89" s="41" t="s">
        <v>141</v>
      </c>
      <c r="D89" s="52" t="s">
        <v>363</v>
      </c>
    </row>
    <row r="90" spans="1:4" ht="63">
      <c r="A90" s="32">
        <v>7.1</v>
      </c>
      <c r="B90" s="32" t="s">
        <v>729</v>
      </c>
      <c r="C90" s="32" t="s">
        <v>142</v>
      </c>
      <c r="D90" s="32"/>
    </row>
    <row r="91" spans="1:5" ht="31.5">
      <c r="A91" s="32">
        <v>7.2</v>
      </c>
      <c r="B91" s="32" t="s">
        <v>149</v>
      </c>
      <c r="C91" s="32"/>
      <c r="D91" s="32" t="s">
        <v>150</v>
      </c>
      <c r="E91" s="2" t="s">
        <v>388</v>
      </c>
    </row>
    <row r="92" spans="1:4" ht="141.75">
      <c r="A92" s="32">
        <v>7.3</v>
      </c>
      <c r="B92" s="32" t="s">
        <v>151</v>
      </c>
      <c r="C92" s="32" t="s">
        <v>152</v>
      </c>
      <c r="D92" s="32" t="s">
        <v>153</v>
      </c>
    </row>
    <row r="93" spans="1:5" ht="204.75">
      <c r="A93" s="32">
        <v>7.4</v>
      </c>
      <c r="B93" s="32" t="s">
        <v>154</v>
      </c>
      <c r="C93" s="32" t="s">
        <v>155</v>
      </c>
      <c r="D93" s="32" t="s">
        <v>156</v>
      </c>
      <c r="E93" s="2" t="s">
        <v>240</v>
      </c>
    </row>
    <row r="94" spans="1:4" ht="126">
      <c r="A94" s="32">
        <v>7.5</v>
      </c>
      <c r="B94" s="32" t="s">
        <v>157</v>
      </c>
      <c r="C94" s="32"/>
      <c r="D94" s="32" t="s">
        <v>158</v>
      </c>
    </row>
    <row r="95" spans="1:4" ht="110.25">
      <c r="A95" s="32">
        <v>7.6</v>
      </c>
      <c r="B95" s="32" t="s">
        <v>159</v>
      </c>
      <c r="C95" s="32"/>
      <c r="D95" s="32"/>
    </row>
    <row r="96" spans="1:4" ht="31.5">
      <c r="A96" s="32">
        <v>7.7</v>
      </c>
      <c r="B96" s="32" t="s">
        <v>736</v>
      </c>
      <c r="C96" s="32"/>
      <c r="D96" s="32"/>
    </row>
    <row r="98" spans="1:4" ht="15.75">
      <c r="A98" s="54" t="s">
        <v>186</v>
      </c>
      <c r="B98" s="53" t="s">
        <v>188</v>
      </c>
      <c r="D98" s="52" t="s">
        <v>365</v>
      </c>
    </row>
    <row r="99" spans="1:4" ht="63">
      <c r="A99" s="32" t="s">
        <v>160</v>
      </c>
      <c r="B99" s="32" t="s">
        <v>161</v>
      </c>
      <c r="C99" s="34" t="s">
        <v>162</v>
      </c>
      <c r="D99" s="32"/>
    </row>
    <row r="100" spans="1:4" ht="78.75">
      <c r="A100" s="32" t="s">
        <v>163</v>
      </c>
      <c r="B100" s="32" t="s">
        <v>164</v>
      </c>
      <c r="C100" s="32" t="s">
        <v>165</v>
      </c>
      <c r="D100" s="32" t="s">
        <v>166</v>
      </c>
    </row>
    <row r="101" spans="1:5" ht="94.5">
      <c r="A101" s="32" t="s">
        <v>167</v>
      </c>
      <c r="B101" s="32" t="s">
        <v>168</v>
      </c>
      <c r="C101" s="32"/>
      <c r="D101" s="32"/>
      <c r="E101" s="2" t="s">
        <v>898</v>
      </c>
    </row>
    <row r="102" spans="1:5" ht="141.75">
      <c r="A102" s="32" t="s">
        <v>169</v>
      </c>
      <c r="B102" s="32" t="s">
        <v>170</v>
      </c>
      <c r="C102" s="32" t="s">
        <v>171</v>
      </c>
      <c r="D102" s="32" t="s">
        <v>172</v>
      </c>
      <c r="E102" s="2" t="s">
        <v>901</v>
      </c>
    </row>
    <row r="103" spans="1:5" ht="126">
      <c r="A103" s="32" t="s">
        <v>173</v>
      </c>
      <c r="B103" s="32" t="s">
        <v>174</v>
      </c>
      <c r="C103" s="32"/>
      <c r="D103" s="32"/>
      <c r="E103" s="2" t="s">
        <v>900</v>
      </c>
    </row>
    <row r="104" spans="1:4" ht="63">
      <c r="A104" s="32" t="s">
        <v>175</v>
      </c>
      <c r="B104" s="32" t="s">
        <v>176</v>
      </c>
      <c r="C104" s="32"/>
      <c r="D104" s="32"/>
    </row>
    <row r="105" spans="1:4" ht="31.5">
      <c r="A105" s="32" t="s">
        <v>177</v>
      </c>
      <c r="B105" s="32" t="s">
        <v>178</v>
      </c>
      <c r="C105" s="32"/>
      <c r="D105" s="32"/>
    </row>
    <row r="106" spans="1:5" ht="63">
      <c r="A106" s="32" t="s">
        <v>179</v>
      </c>
      <c r="B106" s="32" t="s">
        <v>180</v>
      </c>
      <c r="C106" s="32"/>
      <c r="D106" s="32"/>
      <c r="E106" s="2" t="s">
        <v>386</v>
      </c>
    </row>
    <row r="107" spans="1:4" ht="126">
      <c r="A107" s="32" t="s">
        <v>181</v>
      </c>
      <c r="B107" s="32" t="s">
        <v>182</v>
      </c>
      <c r="C107" s="32"/>
      <c r="D107" s="32"/>
    </row>
    <row r="108" spans="1:4" ht="78.75">
      <c r="A108" s="32" t="s">
        <v>183</v>
      </c>
      <c r="B108" s="32" t="s">
        <v>708</v>
      </c>
      <c r="C108" s="32"/>
      <c r="D108" s="32"/>
    </row>
    <row r="109" spans="1:5" ht="78.75">
      <c r="A109" s="32" t="s">
        <v>184</v>
      </c>
      <c r="B109" s="32" t="s">
        <v>185</v>
      </c>
      <c r="C109" s="32"/>
      <c r="D109" s="32"/>
      <c r="E109" s="2" t="s">
        <v>899</v>
      </c>
    </row>
    <row r="111" spans="1:5" s="57" customFormat="1" ht="15.75">
      <c r="A111" s="54" t="s">
        <v>219</v>
      </c>
      <c r="B111" s="53" t="s">
        <v>187</v>
      </c>
      <c r="C111" s="55"/>
      <c r="D111" s="52" t="s">
        <v>362</v>
      </c>
      <c r="E111" s="56"/>
    </row>
    <row r="112" spans="1:5" ht="110.25">
      <c r="A112" s="32" t="s">
        <v>189</v>
      </c>
      <c r="B112" s="32" t="s">
        <v>190</v>
      </c>
      <c r="C112" s="34" t="s">
        <v>162</v>
      </c>
      <c r="D112" s="32" t="s">
        <v>191</v>
      </c>
      <c r="E112" s="2" t="s">
        <v>902</v>
      </c>
    </row>
    <row r="113" spans="1:4" ht="141.75">
      <c r="A113" s="32" t="s">
        <v>192</v>
      </c>
      <c r="B113" s="32" t="s">
        <v>193</v>
      </c>
      <c r="C113" s="32" t="s">
        <v>194</v>
      </c>
      <c r="D113" s="32"/>
    </row>
    <row r="114" spans="1:5" ht="94.5">
      <c r="A114" s="32" t="s">
        <v>195</v>
      </c>
      <c r="B114" s="32" t="s">
        <v>196</v>
      </c>
      <c r="C114" s="32"/>
      <c r="D114" s="32"/>
      <c r="E114" s="2" t="s">
        <v>903</v>
      </c>
    </row>
    <row r="115" spans="1:4" ht="63">
      <c r="A115" s="32" t="s">
        <v>197</v>
      </c>
      <c r="B115" s="32" t="s">
        <v>198</v>
      </c>
      <c r="C115" s="32"/>
      <c r="D115" s="32"/>
    </row>
    <row r="116" spans="1:5" ht="31.5">
      <c r="A116" s="32" t="s">
        <v>199</v>
      </c>
      <c r="B116" s="32" t="s">
        <v>200</v>
      </c>
      <c r="C116" s="32"/>
      <c r="D116" s="32"/>
      <c r="E116" s="2" t="s">
        <v>901</v>
      </c>
    </row>
    <row r="117" spans="1:4" ht="63">
      <c r="A117" s="32" t="s">
        <v>201</v>
      </c>
      <c r="B117" s="32" t="s">
        <v>202</v>
      </c>
      <c r="C117" s="32" t="s">
        <v>203</v>
      </c>
      <c r="D117" s="32"/>
    </row>
    <row r="118" spans="1:5" ht="173.25">
      <c r="A118" s="32" t="s">
        <v>204</v>
      </c>
      <c r="B118" s="32" t="s">
        <v>205</v>
      </c>
      <c r="C118" s="32"/>
      <c r="D118" s="32" t="s">
        <v>206</v>
      </c>
      <c r="E118" s="2" t="s">
        <v>904</v>
      </c>
    </row>
    <row r="119" spans="1:4" ht="110.25">
      <c r="A119" s="32" t="s">
        <v>207</v>
      </c>
      <c r="B119" s="32" t="s">
        <v>208</v>
      </c>
      <c r="C119" s="32"/>
      <c r="D119" s="32" t="s">
        <v>209</v>
      </c>
    </row>
    <row r="120" spans="1:4" ht="63">
      <c r="A120" s="32" t="s">
        <v>210</v>
      </c>
      <c r="B120" s="32" t="s">
        <v>176</v>
      </c>
      <c r="C120" s="32"/>
      <c r="D120" s="32"/>
    </row>
    <row r="121" spans="1:4" ht="31.5">
      <c r="A121" s="32" t="s">
        <v>211</v>
      </c>
      <c r="B121" s="32" t="s">
        <v>178</v>
      </c>
      <c r="C121" s="32"/>
      <c r="D121" s="32"/>
    </row>
    <row r="122" spans="1:5" ht="63">
      <c r="A122" s="32" t="s">
        <v>212</v>
      </c>
      <c r="B122" s="32" t="s">
        <v>213</v>
      </c>
      <c r="C122" s="32"/>
      <c r="D122" s="32"/>
      <c r="E122" s="2" t="s">
        <v>386</v>
      </c>
    </row>
    <row r="123" spans="1:4" ht="126">
      <c r="A123" s="32" t="s">
        <v>214</v>
      </c>
      <c r="B123" s="32" t="s">
        <v>215</v>
      </c>
      <c r="C123" s="32"/>
      <c r="D123" s="32"/>
    </row>
    <row r="124" spans="1:4" ht="31.5">
      <c r="A124" s="32" t="s">
        <v>216</v>
      </c>
      <c r="B124" s="32" t="s">
        <v>707</v>
      </c>
      <c r="C124" s="32"/>
      <c r="D124" s="32"/>
    </row>
    <row r="125" spans="1:4" ht="78.75">
      <c r="A125" s="32" t="s">
        <v>217</v>
      </c>
      <c r="B125" s="32" t="s">
        <v>708</v>
      </c>
      <c r="C125" s="32"/>
      <c r="D125" s="32"/>
    </row>
    <row r="126" spans="1:4" ht="47.25">
      <c r="A126" s="32" t="s">
        <v>218</v>
      </c>
      <c r="B126" s="32" t="s">
        <v>709</v>
      </c>
      <c r="C126" s="32"/>
      <c r="D126" s="32"/>
    </row>
    <row r="127" spans="1:4" ht="15.75">
      <c r="A127" s="32"/>
      <c r="B127" s="32"/>
      <c r="C127" s="32"/>
      <c r="D127" s="32"/>
    </row>
    <row r="128" spans="1:4" ht="15.75">
      <c r="A128" s="63" t="s">
        <v>370</v>
      </c>
      <c r="B128" s="130" t="s">
        <v>371</v>
      </c>
      <c r="C128" s="131"/>
      <c r="D128" s="32"/>
    </row>
    <row r="129" spans="1:4" ht="15.75">
      <c r="A129" s="63" t="s">
        <v>372</v>
      </c>
      <c r="B129" s="130" t="s">
        <v>373</v>
      </c>
      <c r="C129" s="131"/>
      <c r="D129" s="32"/>
    </row>
    <row r="130" spans="1:4" ht="15.75">
      <c r="A130" s="63">
        <v>10</v>
      </c>
      <c r="B130" s="130" t="s">
        <v>374</v>
      </c>
      <c r="C130" s="131"/>
      <c r="D130" s="32"/>
    </row>
    <row r="131" spans="1:4" ht="15.75">
      <c r="A131" s="63">
        <v>11</v>
      </c>
      <c r="B131" s="130" t="s">
        <v>375</v>
      </c>
      <c r="C131" s="131"/>
      <c r="D131" s="32"/>
    </row>
    <row r="132" spans="1:4" ht="15.75">
      <c r="A132" s="63">
        <v>12</v>
      </c>
      <c r="B132" s="130" t="s">
        <v>376</v>
      </c>
      <c r="C132" s="131"/>
      <c r="D132" s="32"/>
    </row>
    <row r="133" spans="1:4" ht="15.75">
      <c r="A133" s="63">
        <v>13</v>
      </c>
      <c r="B133" s="130" t="s">
        <v>377</v>
      </c>
      <c r="C133" s="131"/>
      <c r="D133" s="32"/>
    </row>
    <row r="135" spans="1:5" s="57" customFormat="1" ht="15.75">
      <c r="A135" s="54">
        <v>14</v>
      </c>
      <c r="B135" s="53" t="s">
        <v>220</v>
      </c>
      <c r="C135" s="55"/>
      <c r="D135" s="52" t="s">
        <v>366</v>
      </c>
      <c r="E135" s="56"/>
    </row>
    <row r="136" spans="1:4" ht="63">
      <c r="A136" s="32">
        <v>14.1</v>
      </c>
      <c r="B136" s="34" t="s">
        <v>221</v>
      </c>
      <c r="C136" s="34" t="s">
        <v>222</v>
      </c>
      <c r="D136" s="34"/>
    </row>
    <row r="137" spans="1:5" ht="94.5">
      <c r="A137" s="32">
        <v>14.2</v>
      </c>
      <c r="B137" s="34" t="s">
        <v>223</v>
      </c>
      <c r="C137" s="34" t="s">
        <v>224</v>
      </c>
      <c r="D137" s="34" t="s">
        <v>225</v>
      </c>
      <c r="E137" s="2" t="s">
        <v>905</v>
      </c>
    </row>
    <row r="138" spans="1:4" ht="31.5">
      <c r="A138" s="32">
        <v>14.3</v>
      </c>
      <c r="B138" s="34" t="s">
        <v>132</v>
      </c>
      <c r="C138" s="34" t="s">
        <v>133</v>
      </c>
      <c r="D138" s="34" t="s">
        <v>133</v>
      </c>
    </row>
    <row r="139" spans="1:5" ht="31.5">
      <c r="A139" s="32">
        <v>14.4</v>
      </c>
      <c r="B139" s="34" t="s">
        <v>226</v>
      </c>
      <c r="C139" s="34" t="s">
        <v>227</v>
      </c>
      <c r="D139" s="34" t="s">
        <v>227</v>
      </c>
      <c r="E139" s="2" t="s">
        <v>906</v>
      </c>
    </row>
    <row r="140" spans="1:5" ht="63">
      <c r="A140" s="32">
        <v>14.5</v>
      </c>
      <c r="B140" s="34" t="s">
        <v>228</v>
      </c>
      <c r="C140" s="32"/>
      <c r="D140" s="34"/>
      <c r="E140" s="2" t="s">
        <v>907</v>
      </c>
    </row>
    <row r="141" spans="1:5" ht="97.5">
      <c r="A141" s="32">
        <v>14.6</v>
      </c>
      <c r="B141" s="34" t="s">
        <v>229</v>
      </c>
      <c r="C141" s="32"/>
      <c r="D141" s="34" t="s">
        <v>230</v>
      </c>
      <c r="E141" s="2" t="s">
        <v>908</v>
      </c>
    </row>
    <row r="142" spans="1:4" ht="15.75">
      <c r="A142" s="32">
        <v>14.7</v>
      </c>
      <c r="B142" s="34" t="s">
        <v>135</v>
      </c>
      <c r="C142" s="34" t="s">
        <v>135</v>
      </c>
      <c r="D142" s="34"/>
    </row>
    <row r="143" spans="1:4" ht="15.75">
      <c r="A143" s="32">
        <v>14.8</v>
      </c>
      <c r="B143" s="34" t="s">
        <v>136</v>
      </c>
      <c r="C143" s="34" t="s">
        <v>136</v>
      </c>
      <c r="D143" s="34"/>
    </row>
    <row r="145" spans="1:4" ht="15.75">
      <c r="A145" s="54">
        <v>15</v>
      </c>
      <c r="B145" s="53" t="s">
        <v>231</v>
      </c>
      <c r="D145" s="52" t="s">
        <v>367</v>
      </c>
    </row>
    <row r="146" spans="1:4" ht="78.75">
      <c r="A146" s="32">
        <v>15.1</v>
      </c>
      <c r="B146" s="33" t="s">
        <v>232</v>
      </c>
      <c r="C146" s="34"/>
      <c r="D146" s="32"/>
    </row>
    <row r="147" spans="1:5" ht="110.25">
      <c r="A147" s="32">
        <v>15.2</v>
      </c>
      <c r="B147" s="33" t="s">
        <v>233</v>
      </c>
      <c r="C147" s="34" t="s">
        <v>234</v>
      </c>
      <c r="D147" s="32"/>
      <c r="E147" s="2" t="s">
        <v>909</v>
      </c>
    </row>
    <row r="148" spans="1:4" ht="126">
      <c r="A148" s="32">
        <v>15.3</v>
      </c>
      <c r="B148" s="33" t="s">
        <v>235</v>
      </c>
      <c r="C148" s="34" t="s">
        <v>236</v>
      </c>
      <c r="D148" s="32" t="s">
        <v>237</v>
      </c>
    </row>
    <row r="149" spans="1:4" ht="31.5">
      <c r="A149" s="32">
        <v>15.4</v>
      </c>
      <c r="B149" s="33" t="s">
        <v>238</v>
      </c>
      <c r="C149" s="34"/>
      <c r="D149" s="32"/>
    </row>
    <row r="150" spans="1:4" ht="78.75">
      <c r="A150" s="32">
        <v>15.5</v>
      </c>
      <c r="B150" s="33" t="s">
        <v>239</v>
      </c>
      <c r="C150" s="34" t="s">
        <v>240</v>
      </c>
      <c r="D150" s="34" t="s">
        <v>241</v>
      </c>
    </row>
    <row r="151" spans="1:4" ht="78.75">
      <c r="A151" s="32">
        <v>15.6</v>
      </c>
      <c r="B151" s="33" t="s">
        <v>242</v>
      </c>
      <c r="C151" s="32" t="s">
        <v>243</v>
      </c>
      <c r="D151" s="32" t="s">
        <v>258</v>
      </c>
    </row>
    <row r="152" spans="1:5" ht="47.25">
      <c r="A152" s="32">
        <v>15.7</v>
      </c>
      <c r="B152" s="33" t="s">
        <v>244</v>
      </c>
      <c r="C152" s="34" t="s">
        <v>245</v>
      </c>
      <c r="D152" s="34" t="s">
        <v>246</v>
      </c>
      <c r="E152" s="2" t="s">
        <v>898</v>
      </c>
    </row>
    <row r="153" spans="1:5" ht="63">
      <c r="A153" s="32">
        <v>15.8</v>
      </c>
      <c r="B153" s="33" t="s">
        <v>247</v>
      </c>
      <c r="C153" s="34"/>
      <c r="D153" s="34" t="s">
        <v>248</v>
      </c>
      <c r="E153" s="2" t="s">
        <v>910</v>
      </c>
    </row>
    <row r="154" spans="1:5" ht="78.75">
      <c r="A154" s="32">
        <v>15.9</v>
      </c>
      <c r="B154" s="34" t="s">
        <v>249</v>
      </c>
      <c r="C154" s="34" t="s">
        <v>250</v>
      </c>
      <c r="D154" s="34" t="s">
        <v>259</v>
      </c>
      <c r="E154" s="2" t="s">
        <v>911</v>
      </c>
    </row>
    <row r="155" spans="1:5" ht="94.5">
      <c r="A155" s="36" t="s">
        <v>260</v>
      </c>
      <c r="B155" s="34" t="s">
        <v>251</v>
      </c>
      <c r="C155" s="34"/>
      <c r="D155" s="34" t="s">
        <v>252</v>
      </c>
      <c r="E155" s="2" t="s">
        <v>912</v>
      </c>
    </row>
    <row r="156" spans="1:4" ht="126">
      <c r="A156" s="37">
        <v>15.11</v>
      </c>
      <c r="B156" s="34" t="s">
        <v>253</v>
      </c>
      <c r="C156" s="34"/>
      <c r="D156" s="34" t="s">
        <v>254</v>
      </c>
    </row>
    <row r="157" spans="1:4" ht="110.25">
      <c r="A157" s="37">
        <v>15.12</v>
      </c>
      <c r="B157" s="34" t="s">
        <v>255</v>
      </c>
      <c r="C157" s="34"/>
      <c r="D157" s="34"/>
    </row>
    <row r="158" spans="1:5" ht="47.25">
      <c r="A158" s="37">
        <v>15.13</v>
      </c>
      <c r="B158" s="34" t="s">
        <v>256</v>
      </c>
      <c r="C158" s="34"/>
      <c r="D158" s="34"/>
      <c r="E158" s="2" t="s">
        <v>896</v>
      </c>
    </row>
    <row r="159" spans="1:4" ht="110.25">
      <c r="A159" s="37">
        <v>15.14</v>
      </c>
      <c r="B159" s="34" t="s">
        <v>257</v>
      </c>
      <c r="C159" s="34"/>
      <c r="D159" s="32"/>
    </row>
    <row r="161" spans="1:5" s="57" customFormat="1" ht="15.75">
      <c r="A161" s="54">
        <v>16</v>
      </c>
      <c r="B161" s="53" t="s">
        <v>261</v>
      </c>
      <c r="C161" s="55"/>
      <c r="D161" s="52" t="s">
        <v>367</v>
      </c>
      <c r="E161" s="56"/>
    </row>
    <row r="162" spans="1:5" ht="220.5">
      <c r="A162" s="32">
        <v>16.1</v>
      </c>
      <c r="B162" s="33" t="s">
        <v>262</v>
      </c>
      <c r="C162" s="34" t="s">
        <v>298</v>
      </c>
      <c r="D162" s="32"/>
      <c r="E162" s="32"/>
    </row>
    <row r="163" spans="1:5" ht="31.5">
      <c r="A163" s="32">
        <v>16.2</v>
      </c>
      <c r="B163" s="33" t="s">
        <v>238</v>
      </c>
      <c r="C163" s="34"/>
      <c r="D163" s="32" t="s">
        <v>263</v>
      </c>
      <c r="E163" s="32"/>
    </row>
    <row r="164" spans="1:5" ht="63">
      <c r="A164" s="32">
        <v>16.3</v>
      </c>
      <c r="B164" s="33" t="s">
        <v>264</v>
      </c>
      <c r="C164" s="34"/>
      <c r="D164" s="34" t="s">
        <v>265</v>
      </c>
      <c r="E164" s="34"/>
    </row>
    <row r="165" spans="1:5" ht="126">
      <c r="A165" s="32">
        <v>16.4</v>
      </c>
      <c r="B165" s="33" t="s">
        <v>266</v>
      </c>
      <c r="C165" s="32" t="s">
        <v>299</v>
      </c>
      <c r="D165" s="32" t="s">
        <v>267</v>
      </c>
      <c r="E165" s="32" t="s">
        <v>916</v>
      </c>
    </row>
    <row r="166" spans="1:5" ht="31.5">
      <c r="A166" s="32">
        <v>16.5</v>
      </c>
      <c r="B166" s="33" t="s">
        <v>268</v>
      </c>
      <c r="C166" s="34"/>
      <c r="D166" s="34" t="s">
        <v>269</v>
      </c>
      <c r="E166" s="34" t="s">
        <v>903</v>
      </c>
    </row>
    <row r="167" spans="1:5" ht="47.25">
      <c r="A167" s="32">
        <v>16.6</v>
      </c>
      <c r="B167" s="33" t="s">
        <v>270</v>
      </c>
      <c r="C167" s="34"/>
      <c r="D167" s="34" t="s">
        <v>271</v>
      </c>
      <c r="E167" s="34" t="s">
        <v>910</v>
      </c>
    </row>
    <row r="168" spans="1:5" ht="47.25">
      <c r="A168" s="32">
        <v>16.7</v>
      </c>
      <c r="B168" s="33" t="s">
        <v>272</v>
      </c>
      <c r="C168" s="34" t="s">
        <v>273</v>
      </c>
      <c r="D168" s="34" t="s">
        <v>290</v>
      </c>
      <c r="E168" s="34" t="s">
        <v>900</v>
      </c>
    </row>
    <row r="169" spans="1:5" ht="63" customHeight="1">
      <c r="A169" s="32">
        <v>16.8</v>
      </c>
      <c r="B169" s="33" t="s">
        <v>291</v>
      </c>
      <c r="C169" s="34"/>
      <c r="D169" s="34" t="s">
        <v>252</v>
      </c>
      <c r="E169" s="34" t="s">
        <v>912</v>
      </c>
    </row>
    <row r="170" spans="1:5" ht="63">
      <c r="A170" s="32">
        <v>16.9</v>
      </c>
      <c r="B170" s="33" t="s">
        <v>292</v>
      </c>
      <c r="C170" s="34"/>
      <c r="D170" s="34" t="s">
        <v>293</v>
      </c>
      <c r="E170" s="34" t="s">
        <v>913</v>
      </c>
    </row>
    <row r="171" spans="1:5" ht="94.5">
      <c r="A171" s="36" t="s">
        <v>300</v>
      </c>
      <c r="B171" s="33" t="s">
        <v>294</v>
      </c>
      <c r="C171" s="32"/>
      <c r="D171" s="32"/>
      <c r="E171" s="32"/>
    </row>
    <row r="172" spans="1:5" ht="110.25">
      <c r="A172" s="37">
        <v>16.11</v>
      </c>
      <c r="B172" s="34" t="s">
        <v>295</v>
      </c>
      <c r="C172" s="34"/>
      <c r="D172" s="34"/>
      <c r="E172" s="34"/>
    </row>
    <row r="173" spans="1:5" ht="47.25">
      <c r="A173" s="37">
        <v>16.12</v>
      </c>
      <c r="B173" s="34" t="s">
        <v>296</v>
      </c>
      <c r="C173" s="34"/>
      <c r="D173" s="34"/>
      <c r="E173" s="34" t="s">
        <v>896</v>
      </c>
    </row>
    <row r="174" spans="1:5" ht="63">
      <c r="A174" s="37">
        <v>16.13</v>
      </c>
      <c r="B174" s="33" t="s">
        <v>297</v>
      </c>
      <c r="C174" s="34"/>
      <c r="D174" s="32"/>
      <c r="E174" s="32"/>
    </row>
    <row r="176" spans="1:5" s="57" customFormat="1" ht="15.75">
      <c r="A176" s="54">
        <v>17</v>
      </c>
      <c r="B176" s="53" t="s">
        <v>301</v>
      </c>
      <c r="C176" s="55"/>
      <c r="D176" s="52" t="s">
        <v>369</v>
      </c>
      <c r="E176" s="56"/>
    </row>
    <row r="177" spans="1:4" ht="63">
      <c r="A177" s="32">
        <v>17.1</v>
      </c>
      <c r="B177" s="33" t="s">
        <v>302</v>
      </c>
      <c r="C177" s="34"/>
      <c r="D177" s="32"/>
    </row>
    <row r="178" spans="1:5" ht="141.75">
      <c r="A178" s="32">
        <v>17.2</v>
      </c>
      <c r="B178" s="33" t="s">
        <v>303</v>
      </c>
      <c r="C178" s="34" t="s">
        <v>334</v>
      </c>
      <c r="D178" s="32"/>
      <c r="E178" s="2" t="s">
        <v>914</v>
      </c>
    </row>
    <row r="179" spans="1:4" ht="94.5">
      <c r="A179" s="32">
        <v>17.3</v>
      </c>
      <c r="B179" s="34" t="s">
        <v>304</v>
      </c>
      <c r="C179" s="34"/>
      <c r="D179" s="32"/>
    </row>
    <row r="180" spans="1:4" ht="110.25">
      <c r="A180" s="32">
        <v>17.4</v>
      </c>
      <c r="B180" s="33" t="s">
        <v>305</v>
      </c>
      <c r="C180" s="34" t="s">
        <v>368</v>
      </c>
      <c r="D180" s="32"/>
    </row>
    <row r="181" spans="1:5" ht="47.25">
      <c r="A181" s="32">
        <v>17.5</v>
      </c>
      <c r="B181" s="34" t="s">
        <v>306</v>
      </c>
      <c r="C181" s="32" t="s">
        <v>718</v>
      </c>
      <c r="D181" s="32" t="s">
        <v>307</v>
      </c>
      <c r="E181" s="2" t="s">
        <v>903</v>
      </c>
    </row>
    <row r="182" spans="1:5" ht="31.5">
      <c r="A182" s="32">
        <v>17.6</v>
      </c>
      <c r="B182" s="33" t="s">
        <v>308</v>
      </c>
      <c r="C182" s="32"/>
      <c r="D182" s="32" t="s">
        <v>309</v>
      </c>
      <c r="E182" s="2" t="s">
        <v>886</v>
      </c>
    </row>
    <row r="183" spans="1:5" ht="31.5">
      <c r="A183" s="32">
        <v>17.7</v>
      </c>
      <c r="B183" s="33" t="s">
        <v>310</v>
      </c>
      <c r="C183" s="32"/>
      <c r="D183" s="32" t="s">
        <v>311</v>
      </c>
      <c r="E183" s="2" t="s">
        <v>910</v>
      </c>
    </row>
    <row r="184" spans="1:5" ht="63">
      <c r="A184" s="32">
        <v>17.8</v>
      </c>
      <c r="B184" s="34" t="s">
        <v>312</v>
      </c>
      <c r="C184" s="34" t="s">
        <v>695</v>
      </c>
      <c r="D184" s="32" t="s">
        <v>313</v>
      </c>
      <c r="E184" s="2" t="s">
        <v>384</v>
      </c>
    </row>
    <row r="185" spans="1:5" ht="110.25">
      <c r="A185" s="32">
        <v>17.9</v>
      </c>
      <c r="B185" s="34" t="s">
        <v>314</v>
      </c>
      <c r="C185" s="34" t="s">
        <v>315</v>
      </c>
      <c r="D185" s="32" t="s">
        <v>314</v>
      </c>
      <c r="E185" s="2" t="s">
        <v>915</v>
      </c>
    </row>
    <row r="186" spans="1:5" ht="47.25">
      <c r="A186" s="36" t="s">
        <v>359</v>
      </c>
      <c r="B186" s="34" t="s">
        <v>316</v>
      </c>
      <c r="C186" s="34"/>
      <c r="D186" s="32" t="s">
        <v>317</v>
      </c>
      <c r="E186" s="2" t="s">
        <v>392</v>
      </c>
    </row>
    <row r="187" spans="1:4" ht="63">
      <c r="A187" s="37">
        <v>17.11</v>
      </c>
      <c r="B187" s="34" t="s">
        <v>318</v>
      </c>
      <c r="C187" s="34" t="s">
        <v>319</v>
      </c>
      <c r="D187" s="32"/>
    </row>
    <row r="188" spans="1:4" ht="47.25">
      <c r="A188" s="37">
        <v>17.12</v>
      </c>
      <c r="B188" s="34" t="s">
        <v>331</v>
      </c>
      <c r="C188" s="32"/>
      <c r="D188" s="32"/>
    </row>
    <row r="189" spans="1:4" ht="47.25">
      <c r="A189" s="37">
        <v>17.13</v>
      </c>
      <c r="B189" s="34" t="s">
        <v>332</v>
      </c>
      <c r="C189" s="32"/>
      <c r="D189" s="32"/>
    </row>
    <row r="190" spans="1:4" ht="31.5">
      <c r="A190" s="37">
        <v>17.14</v>
      </c>
      <c r="B190" s="34" t="s">
        <v>707</v>
      </c>
      <c r="C190" s="32"/>
      <c r="D190" s="32"/>
    </row>
    <row r="191" spans="1:4" ht="94.5">
      <c r="A191" s="37">
        <v>17.15</v>
      </c>
      <c r="B191" s="34" t="s">
        <v>333</v>
      </c>
      <c r="C191" s="32"/>
      <c r="D191" s="32"/>
    </row>
    <row r="192" spans="1:4" ht="47.25">
      <c r="A192" s="37">
        <v>17.16</v>
      </c>
      <c r="B192" s="34" t="s">
        <v>709</v>
      </c>
      <c r="C192" s="32"/>
      <c r="D192" s="32"/>
    </row>
  </sheetData>
  <mergeCells count="10">
    <mergeCell ref="D69:D70"/>
    <mergeCell ref="B130:C130"/>
    <mergeCell ref="B131:C131"/>
    <mergeCell ref="B132:C132"/>
    <mergeCell ref="B128:C128"/>
    <mergeCell ref="B129:C129"/>
    <mergeCell ref="A69:A70"/>
    <mergeCell ref="B69:B70"/>
    <mergeCell ref="C69:C70"/>
    <mergeCell ref="B133:C133"/>
  </mergeCells>
  <printOptions gridLines="1"/>
  <pageMargins left="0.34" right="0.16" top="0.6" bottom="0.52" header="0.38" footer="0.27"/>
  <pageSetup horizontalDpi="600" verticalDpi="600" orientation="portrait" r:id="rId3"/>
  <legacyDrawing r:id="rId2"/>
  <oleObjects>
    <oleObject progId="Equation.3" shapeId="69682000" r:id="rId1"/>
  </oleObjects>
</worksheet>
</file>

<file path=xl/worksheets/sheet10.xml><?xml version="1.0" encoding="utf-8"?>
<worksheet xmlns="http://schemas.openxmlformats.org/spreadsheetml/2006/main" xmlns:r="http://schemas.openxmlformats.org/officeDocument/2006/relationships">
  <dimension ref="A1:E30"/>
  <sheetViews>
    <sheetView workbookViewId="0" topLeftCell="A1">
      <selection activeCell="B12" sqref="B12"/>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401</v>
      </c>
      <c r="B1" s="64" t="s">
        <v>399</v>
      </c>
      <c r="C1" s="64" t="s">
        <v>403</v>
      </c>
      <c r="D1" s="64" t="s">
        <v>411</v>
      </c>
      <c r="E1" s="64" t="s">
        <v>400</v>
      </c>
    </row>
    <row r="2" spans="1:5" ht="25.5">
      <c r="A2" s="1">
        <v>1</v>
      </c>
      <c r="B2" s="2" t="s">
        <v>423</v>
      </c>
      <c r="C2" s="2"/>
      <c r="D2" s="2" t="s">
        <v>424</v>
      </c>
      <c r="E2" s="2" t="s">
        <v>425</v>
      </c>
    </row>
    <row r="3" spans="1:5" ht="25.5">
      <c r="A3" s="1">
        <f>A2+1</f>
        <v>2</v>
      </c>
      <c r="B3" s="2" t="s">
        <v>618</v>
      </c>
      <c r="C3" s="2"/>
      <c r="D3" s="2" t="s">
        <v>625</v>
      </c>
      <c r="E3" s="2" t="s">
        <v>917</v>
      </c>
    </row>
    <row r="4" spans="1:5" ht="89.25">
      <c r="A4" s="1">
        <f>A3+1</f>
        <v>3</v>
      </c>
      <c r="B4" s="2" t="s">
        <v>428</v>
      </c>
      <c r="C4" s="2" t="s">
        <v>429</v>
      </c>
      <c r="D4" s="2" t="s">
        <v>430</v>
      </c>
      <c r="E4" s="2"/>
    </row>
    <row r="5" spans="1:5" ht="25.5">
      <c r="A5" s="1">
        <f>A4+1</f>
        <v>4</v>
      </c>
      <c r="B5" s="2" t="s">
        <v>431</v>
      </c>
      <c r="C5" s="2" t="s">
        <v>436</v>
      </c>
      <c r="D5" s="2" t="s">
        <v>432</v>
      </c>
      <c r="E5" s="2"/>
    </row>
    <row r="6" spans="1:5" ht="25.5">
      <c r="A6" s="1">
        <f aca="true" t="shared" si="0" ref="A6:A22">A5+1</f>
        <v>5</v>
      </c>
      <c r="B6" s="2" t="s">
        <v>433</v>
      </c>
      <c r="C6" s="2"/>
      <c r="D6" s="2" t="s">
        <v>434</v>
      </c>
      <c r="E6" s="2"/>
    </row>
    <row r="7" spans="1:5" ht="25.5">
      <c r="A7" s="1">
        <f t="shared" si="0"/>
        <v>6</v>
      </c>
      <c r="B7" s="2" t="s">
        <v>435</v>
      </c>
      <c r="C7" s="2"/>
      <c r="D7" s="2"/>
      <c r="E7" s="2"/>
    </row>
    <row r="8" spans="1:5" ht="25.5">
      <c r="A8" s="1">
        <f t="shared" si="0"/>
        <v>7</v>
      </c>
      <c r="B8" s="2" t="s">
        <v>438</v>
      </c>
      <c r="C8" s="2"/>
      <c r="D8" s="2" t="s">
        <v>439</v>
      </c>
      <c r="E8" s="2"/>
    </row>
    <row r="9" spans="1:5" ht="25.5">
      <c r="A9" s="1">
        <f t="shared" si="0"/>
        <v>8</v>
      </c>
      <c r="B9" s="2" t="s">
        <v>437</v>
      </c>
      <c r="C9" s="2"/>
      <c r="D9" s="2" t="s">
        <v>440</v>
      </c>
      <c r="E9" s="2"/>
    </row>
    <row r="10" spans="1:5" ht="38.25">
      <c r="A10" s="1">
        <f t="shared" si="0"/>
        <v>9</v>
      </c>
      <c r="B10" s="2" t="s">
        <v>441</v>
      </c>
      <c r="C10" s="2" t="s">
        <v>442</v>
      </c>
      <c r="D10" s="2" t="s">
        <v>607</v>
      </c>
      <c r="E10" s="2"/>
    </row>
    <row r="11" spans="1:5" ht="12.75">
      <c r="A11" s="1">
        <f t="shared" si="0"/>
        <v>10</v>
      </c>
      <c r="B11" s="2" t="s">
        <v>623</v>
      </c>
      <c r="C11" s="2"/>
      <c r="D11" s="2"/>
      <c r="E11" s="2"/>
    </row>
    <row r="12" spans="1:5" ht="25.5">
      <c r="A12" s="1">
        <f t="shared" si="0"/>
        <v>11</v>
      </c>
      <c r="B12" s="2" t="s">
        <v>624</v>
      </c>
      <c r="C12" s="2"/>
      <c r="D12" s="2" t="s">
        <v>918</v>
      </c>
      <c r="E12" s="2"/>
    </row>
    <row r="13" spans="1:5" ht="25.5">
      <c r="A13" s="1">
        <f t="shared" si="0"/>
        <v>12</v>
      </c>
      <c r="B13" s="2" t="s">
        <v>613</v>
      </c>
      <c r="C13" s="2"/>
      <c r="D13" s="2" t="s">
        <v>609</v>
      </c>
      <c r="E13" s="2"/>
    </row>
    <row r="14" spans="1:5" ht="38.25">
      <c r="A14" s="1">
        <f t="shared" si="0"/>
        <v>13</v>
      </c>
      <c r="B14" s="2" t="s">
        <v>608</v>
      </c>
      <c r="C14" s="2" t="s">
        <v>610</v>
      </c>
      <c r="D14" s="2" t="s">
        <v>609</v>
      </c>
      <c r="E14" s="2"/>
    </row>
    <row r="15" spans="1:5" ht="51">
      <c r="A15" s="1">
        <f t="shared" si="0"/>
        <v>14</v>
      </c>
      <c r="B15" s="2" t="s">
        <v>611</v>
      </c>
      <c r="C15" s="2"/>
      <c r="D15" s="2" t="s">
        <v>612</v>
      </c>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1:5" ht="12.75">
      <c r="A20" s="1">
        <f t="shared" si="0"/>
        <v>19</v>
      </c>
      <c r="B20" s="2"/>
      <c r="C20" s="2"/>
      <c r="D20" s="2"/>
      <c r="E20" s="2"/>
    </row>
    <row r="21" spans="1:5" ht="12.75">
      <c r="A21" s="1">
        <f t="shared" si="0"/>
        <v>20</v>
      </c>
      <c r="B21" s="2"/>
      <c r="C21" s="2"/>
      <c r="D21" s="2"/>
      <c r="E21" s="2"/>
    </row>
    <row r="22" spans="1:5" ht="12.75">
      <c r="A22" s="1">
        <f t="shared" si="0"/>
        <v>21</v>
      </c>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row r="28" spans="2:5" ht="12.75">
      <c r="B28" s="2"/>
      <c r="C28" s="2"/>
      <c r="D28" s="2"/>
      <c r="E28" s="2"/>
    </row>
    <row r="29" spans="2:5" ht="12.75">
      <c r="B29" s="2"/>
      <c r="C29" s="2"/>
      <c r="D29" s="2"/>
      <c r="E29" s="2"/>
    </row>
    <row r="30" spans="2:5" ht="12.75">
      <c r="B30" s="2"/>
      <c r="C30" s="2"/>
      <c r="D30" s="2"/>
      <c r="E30" s="2"/>
    </row>
  </sheetData>
  <printOptions gridLines="1"/>
  <pageMargins left="0.43" right="0.43"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27"/>
  <sheetViews>
    <sheetView workbookViewId="0" topLeftCell="A1">
      <selection activeCell="B7" sqref="B7"/>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401</v>
      </c>
      <c r="B1" s="64" t="s">
        <v>399</v>
      </c>
      <c r="C1" s="64" t="s">
        <v>403</v>
      </c>
      <c r="D1" s="64" t="s">
        <v>411</v>
      </c>
      <c r="E1" s="64" t="s">
        <v>400</v>
      </c>
    </row>
    <row r="2" spans="1:5" ht="63.75">
      <c r="A2" s="1">
        <v>1</v>
      </c>
      <c r="B2" s="2" t="s">
        <v>402</v>
      </c>
      <c r="C2" s="2" t="s">
        <v>404</v>
      </c>
      <c r="D2" s="2" t="s">
        <v>412</v>
      </c>
      <c r="E2" s="2" t="s">
        <v>405</v>
      </c>
    </row>
    <row r="3" spans="1:5" ht="25.5">
      <c r="A3" s="1">
        <f>A2+1</f>
        <v>2</v>
      </c>
      <c r="B3" s="2" t="s">
        <v>406</v>
      </c>
      <c r="C3" s="2"/>
      <c r="D3" s="2" t="s">
        <v>413</v>
      </c>
      <c r="E3" s="2"/>
    </row>
    <row r="4" spans="1:5" s="17" customFormat="1" ht="63.75">
      <c r="A4" s="113">
        <f aca="true" t="shared" si="0" ref="A4:A19">A3+1</f>
        <v>3</v>
      </c>
      <c r="B4" s="111" t="s">
        <v>407</v>
      </c>
      <c r="C4" s="111" t="s">
        <v>849</v>
      </c>
      <c r="D4" s="111" t="s">
        <v>850</v>
      </c>
      <c r="E4" s="111" t="s">
        <v>851</v>
      </c>
    </row>
    <row r="5" spans="1:5" ht="25.5">
      <c r="A5" s="1">
        <f t="shared" si="0"/>
        <v>4</v>
      </c>
      <c r="B5" s="2" t="s">
        <v>408</v>
      </c>
      <c r="C5" s="2"/>
      <c r="D5" s="2" t="s">
        <v>414</v>
      </c>
      <c r="E5" s="2"/>
    </row>
    <row r="6" spans="1:5" ht="38.25">
      <c r="A6" s="1">
        <f t="shared" si="0"/>
        <v>5</v>
      </c>
      <c r="B6" s="2" t="s">
        <v>409</v>
      </c>
      <c r="C6" s="2"/>
      <c r="D6" s="2" t="s">
        <v>414</v>
      </c>
      <c r="E6" s="2"/>
    </row>
    <row r="7" spans="1:5" ht="38.25">
      <c r="A7" s="1">
        <f t="shared" si="0"/>
        <v>6</v>
      </c>
      <c r="B7" s="2" t="s">
        <v>410</v>
      </c>
      <c r="C7" s="2"/>
      <c r="D7" s="2" t="s">
        <v>415</v>
      </c>
      <c r="E7" s="2"/>
    </row>
    <row r="8" spans="1:5" ht="12.75">
      <c r="A8" s="1">
        <f t="shared" si="0"/>
        <v>7</v>
      </c>
      <c r="B8" s="2"/>
      <c r="C8" s="2"/>
      <c r="D8" s="2"/>
      <c r="E8" s="2"/>
    </row>
    <row r="9" spans="1:5" ht="12.75">
      <c r="A9" s="1">
        <f t="shared" si="0"/>
        <v>8</v>
      </c>
      <c r="B9" s="2"/>
      <c r="C9" s="2"/>
      <c r="D9" s="2"/>
      <c r="E9" s="2"/>
    </row>
    <row r="10" spans="1:5" ht="12.75">
      <c r="A10" s="1">
        <f t="shared" si="0"/>
        <v>9</v>
      </c>
      <c r="B10" s="2"/>
      <c r="C10" s="2"/>
      <c r="D10" s="2"/>
      <c r="E10" s="2"/>
    </row>
    <row r="11" spans="1:5" ht="12.75">
      <c r="A11" s="1">
        <f t="shared" si="0"/>
        <v>10</v>
      </c>
      <c r="B11" s="2"/>
      <c r="C11" s="2"/>
      <c r="D11" s="2"/>
      <c r="E11" s="2"/>
    </row>
    <row r="12" spans="1:5" ht="12.75">
      <c r="A12" s="1">
        <f t="shared" si="0"/>
        <v>11</v>
      </c>
      <c r="B12" s="2"/>
      <c r="C12" s="2"/>
      <c r="D12" s="2"/>
      <c r="E12" s="2"/>
    </row>
    <row r="13" spans="1:5" ht="12.75">
      <c r="A13" s="1">
        <f t="shared" si="0"/>
        <v>12</v>
      </c>
      <c r="B13" s="2"/>
      <c r="C13" s="2"/>
      <c r="D13" s="2"/>
      <c r="E13" s="2"/>
    </row>
    <row r="14" spans="1:5" ht="12.75">
      <c r="A14" s="1">
        <f t="shared" si="0"/>
        <v>13</v>
      </c>
      <c r="B14" s="2"/>
      <c r="C14" s="2"/>
      <c r="D14" s="2"/>
      <c r="E14" s="2"/>
    </row>
    <row r="15" spans="1:5" ht="12.75">
      <c r="A15" s="1">
        <f t="shared" si="0"/>
        <v>14</v>
      </c>
      <c r="B15" s="2"/>
      <c r="C15" s="2"/>
      <c r="D15" s="2"/>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2:5" ht="12.75">
      <c r="B20" s="2"/>
      <c r="C20" s="2"/>
      <c r="D20" s="2"/>
      <c r="E20" s="2"/>
    </row>
    <row r="21" spans="2:5" ht="12.75">
      <c r="B21" s="2"/>
      <c r="C21" s="2"/>
      <c r="D21" s="109" t="s">
        <v>852</v>
      </c>
      <c r="E21" s="2">
        <f>0.25</f>
        <v>0.25</v>
      </c>
    </row>
    <row r="22" spans="2:5" ht="12.75">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sheetData>
  <printOptions gridLines="1"/>
  <pageMargins left="0.55" right="0.44" top="0.87"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B10" sqref="B10"/>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401</v>
      </c>
      <c r="B1" s="64" t="s">
        <v>399</v>
      </c>
      <c r="C1" s="64" t="s">
        <v>403</v>
      </c>
      <c r="D1" s="64" t="s">
        <v>411</v>
      </c>
      <c r="E1" s="64" t="s">
        <v>812</v>
      </c>
    </row>
    <row r="2" spans="1:5" ht="38.25">
      <c r="A2" s="113">
        <v>1</v>
      </c>
      <c r="B2" s="111" t="s">
        <v>421</v>
      </c>
      <c r="C2" s="111" t="s">
        <v>422</v>
      </c>
      <c r="D2" s="111"/>
      <c r="E2" s="114">
        <v>10</v>
      </c>
    </row>
    <row r="3" spans="1:5" ht="38.25">
      <c r="A3" s="113">
        <f>A2+1</f>
        <v>2</v>
      </c>
      <c r="B3" s="111" t="s">
        <v>416</v>
      </c>
      <c r="C3" s="111" t="s">
        <v>418</v>
      </c>
      <c r="D3" s="111" t="s">
        <v>419</v>
      </c>
      <c r="E3" s="114">
        <v>0.25</v>
      </c>
    </row>
    <row r="4" spans="1:5" ht="25.5">
      <c r="A4" s="113">
        <f aca="true" t="shared" si="0" ref="A4:A20">A3+1</f>
        <v>3</v>
      </c>
      <c r="B4" s="111" t="s">
        <v>417</v>
      </c>
      <c r="C4" s="111"/>
      <c r="D4" s="111" t="s">
        <v>420</v>
      </c>
      <c r="E4" s="114"/>
    </row>
    <row r="5" spans="1:5" ht="25.5">
      <c r="A5" s="113">
        <f t="shared" si="0"/>
        <v>4</v>
      </c>
      <c r="B5" s="111" t="s">
        <v>426</v>
      </c>
      <c r="C5" s="111" t="s">
        <v>394</v>
      </c>
      <c r="D5" s="111" t="s">
        <v>427</v>
      </c>
      <c r="E5" s="114">
        <v>0.1</v>
      </c>
    </row>
    <row r="6" spans="1:5" ht="25.5">
      <c r="A6" s="113">
        <f t="shared" si="0"/>
        <v>5</v>
      </c>
      <c r="B6" s="111" t="s">
        <v>395</v>
      </c>
      <c r="C6" s="111" t="s">
        <v>397</v>
      </c>
      <c r="D6" s="111" t="s">
        <v>396</v>
      </c>
      <c r="E6" s="114">
        <v>0.15</v>
      </c>
    </row>
    <row r="7" spans="1:5" ht="38.25">
      <c r="A7" s="1">
        <f t="shared" si="0"/>
        <v>6</v>
      </c>
      <c r="B7" s="2" t="s">
        <v>614</v>
      </c>
      <c r="C7" s="2"/>
      <c r="D7" s="2"/>
      <c r="E7" s="66"/>
    </row>
    <row r="8" spans="1:5" ht="38.25">
      <c r="A8" s="1">
        <f t="shared" si="0"/>
        <v>7</v>
      </c>
      <c r="B8" s="2" t="s">
        <v>615</v>
      </c>
      <c r="C8" s="2"/>
      <c r="D8" s="2"/>
      <c r="E8" s="66"/>
    </row>
    <row r="9" spans="1:5" ht="25.5">
      <c r="A9" s="1">
        <f t="shared" si="0"/>
        <v>8</v>
      </c>
      <c r="B9" s="2" t="s">
        <v>621</v>
      </c>
      <c r="C9" s="2" t="s">
        <v>690</v>
      </c>
      <c r="D9" s="2" t="s">
        <v>622</v>
      </c>
      <c r="E9" s="66"/>
    </row>
    <row r="10" spans="1:5" ht="12.75">
      <c r="A10" s="1">
        <f t="shared" si="0"/>
        <v>9</v>
      </c>
      <c r="B10" s="2" t="s">
        <v>398</v>
      </c>
      <c r="C10" s="2"/>
      <c r="D10" s="2" t="s">
        <v>884</v>
      </c>
      <c r="E10" s="66"/>
    </row>
    <row r="11" spans="1:5" ht="12.75">
      <c r="A11" s="1">
        <f t="shared" si="0"/>
        <v>10</v>
      </c>
      <c r="B11" s="2"/>
      <c r="C11" s="2"/>
      <c r="D11" s="2"/>
      <c r="E11" s="2"/>
    </row>
    <row r="12" spans="1:5" ht="12.75">
      <c r="A12" s="1">
        <f t="shared" si="0"/>
        <v>11</v>
      </c>
      <c r="B12" s="2"/>
      <c r="C12" s="2"/>
      <c r="D12" s="109" t="s">
        <v>853</v>
      </c>
      <c r="E12" s="2">
        <f>0.25+0.1+0.15</f>
        <v>0.5</v>
      </c>
    </row>
    <row r="13" spans="1:5" ht="12.75">
      <c r="A13" s="1">
        <f t="shared" si="0"/>
        <v>12</v>
      </c>
      <c r="B13" s="2"/>
      <c r="C13" s="2"/>
      <c r="D13" s="2"/>
      <c r="E13" s="2"/>
    </row>
    <row r="14" spans="1:5" ht="12.75">
      <c r="A14" s="1">
        <f t="shared" si="0"/>
        <v>13</v>
      </c>
      <c r="B14" s="2"/>
      <c r="C14" s="2"/>
      <c r="D14" s="2"/>
      <c r="E14" s="2"/>
    </row>
    <row r="15" spans="1:5" ht="12.75">
      <c r="A15" s="1">
        <f t="shared" si="0"/>
        <v>14</v>
      </c>
      <c r="B15" s="2"/>
      <c r="C15" s="2"/>
      <c r="D15" s="2"/>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1:5" ht="12.75">
      <c r="A20" s="1">
        <f t="shared" si="0"/>
        <v>19</v>
      </c>
      <c r="B20" s="2"/>
      <c r="C20" s="2"/>
      <c r="D20" s="2"/>
      <c r="E20" s="2"/>
    </row>
    <row r="21" spans="2:5" ht="12.75">
      <c r="B21" s="2"/>
      <c r="C21" s="2"/>
      <c r="D21" s="2"/>
      <c r="E21" s="2"/>
    </row>
    <row r="22" spans="2:5" ht="12.75">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row r="28" spans="2:5" ht="12.75">
      <c r="B28" s="2"/>
      <c r="C28" s="2"/>
      <c r="D28" s="2"/>
      <c r="E28" s="2"/>
    </row>
  </sheetData>
  <printOptions gridLines="1"/>
  <pageMargins left="0.43" right="0.48"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18"/>
  <sheetViews>
    <sheetView workbookViewId="0" topLeftCell="A1">
      <selection activeCell="E17" sqref="E17"/>
    </sheetView>
  </sheetViews>
  <sheetFormatPr defaultColWidth="9.140625" defaultRowHeight="12.75"/>
  <cols>
    <col min="1" max="1" width="23.8515625" style="0" customWidth="1"/>
    <col min="2" max="3" width="9.7109375" style="0" customWidth="1"/>
    <col min="4" max="4" width="7.8515625" style="0" customWidth="1"/>
    <col min="5" max="13" width="7.7109375" style="0" customWidth="1"/>
  </cols>
  <sheetData>
    <row r="1" spans="5:13" ht="12.75">
      <c r="E1" s="132" t="s">
        <v>847</v>
      </c>
      <c r="F1" s="132"/>
      <c r="G1" s="132" t="s">
        <v>848</v>
      </c>
      <c r="H1" s="132"/>
      <c r="I1" s="132"/>
      <c r="J1" s="132"/>
      <c r="K1" s="132"/>
      <c r="L1" s="132"/>
      <c r="M1" s="132"/>
    </row>
    <row r="2" spans="1:14" s="64" customFormat="1" ht="12.75">
      <c r="A2" s="64" t="s">
        <v>839</v>
      </c>
      <c r="B2" s="64" t="s">
        <v>833</v>
      </c>
      <c r="C2" s="64" t="s">
        <v>834</v>
      </c>
      <c r="D2" s="64" t="s">
        <v>835</v>
      </c>
      <c r="E2" s="64" t="s">
        <v>821</v>
      </c>
      <c r="F2" s="64" t="s">
        <v>822</v>
      </c>
      <c r="G2" s="64" t="s">
        <v>823</v>
      </c>
      <c r="H2" s="64" t="s">
        <v>824</v>
      </c>
      <c r="I2" s="64" t="s">
        <v>825</v>
      </c>
      <c r="J2" s="64" t="s">
        <v>826</v>
      </c>
      <c r="K2" s="64" t="s">
        <v>827</v>
      </c>
      <c r="L2" s="64" t="s">
        <v>836</v>
      </c>
      <c r="M2" s="64" t="s">
        <v>837</v>
      </c>
      <c r="N2" s="64" t="s">
        <v>445</v>
      </c>
    </row>
    <row r="3" spans="1:14" ht="12.75">
      <c r="A3" t="s">
        <v>820</v>
      </c>
      <c r="B3" s="105">
        <v>39356</v>
      </c>
      <c r="C3" s="105">
        <v>39568</v>
      </c>
      <c r="D3" s="20">
        <v>19</v>
      </c>
      <c r="E3" s="20">
        <v>738.85</v>
      </c>
      <c r="F3" s="20">
        <v>494.98</v>
      </c>
      <c r="G3" s="20"/>
      <c r="H3" s="20"/>
      <c r="I3" s="20"/>
      <c r="J3" s="20"/>
      <c r="K3" s="20"/>
      <c r="L3" s="20"/>
      <c r="M3" s="20"/>
      <c r="N3" s="20">
        <f>SUM(E3:M3)</f>
        <v>1233.83</v>
      </c>
    </row>
    <row r="4" spans="1:14" ht="12.75">
      <c r="A4" t="s">
        <v>828</v>
      </c>
      <c r="B4" s="105">
        <v>39569</v>
      </c>
      <c r="C4" s="105">
        <v>40298</v>
      </c>
      <c r="D4" s="20">
        <v>24</v>
      </c>
      <c r="E4" s="20"/>
      <c r="F4" s="20">
        <v>214.171</v>
      </c>
      <c r="G4" s="20">
        <v>1800</v>
      </c>
      <c r="H4" s="20">
        <f>('SDR Cost Estimate (FY08)'!W108-F4-G4/E18)*E18^H17</f>
        <v>1634.4115193020564</v>
      </c>
      <c r="I4" s="20"/>
      <c r="J4" s="20"/>
      <c r="K4" s="20"/>
      <c r="L4" s="20"/>
      <c r="M4" s="20"/>
      <c r="N4" s="20">
        <f>SUM(E4:M4)</f>
        <v>3648.5825193020564</v>
      </c>
    </row>
    <row r="5" spans="1:14" ht="12.75">
      <c r="A5" t="s">
        <v>829</v>
      </c>
      <c r="B5" s="105">
        <v>40299</v>
      </c>
      <c r="C5" s="105">
        <v>41029</v>
      </c>
      <c r="D5" s="20">
        <v>24</v>
      </c>
      <c r="E5" s="20"/>
      <c r="F5" s="20"/>
      <c r="G5" s="20"/>
      <c r="H5" s="20">
        <v>1600</v>
      </c>
      <c r="I5" s="20">
        <v>5500</v>
      </c>
      <c r="J5" s="20">
        <f>('SDR Cost Estimate (FY08)'!AH108-H5/E18^H17-I5/E18^I17)*E18^J17</f>
        <v>3036.103039653361</v>
      </c>
      <c r="K5" s="20"/>
      <c r="L5" s="20"/>
      <c r="M5" s="20"/>
      <c r="N5" s="20">
        <f aca="true" t="shared" si="0" ref="N5:N11">SUM(E5:M5)</f>
        <v>10136.10303965336</v>
      </c>
    </row>
    <row r="6" spans="1:14" ht="12.75">
      <c r="A6" t="s">
        <v>830</v>
      </c>
      <c r="B6" s="105">
        <v>41030</v>
      </c>
      <c r="C6" s="105">
        <v>41759</v>
      </c>
      <c r="D6" s="20">
        <v>24</v>
      </c>
      <c r="E6" s="20"/>
      <c r="F6" s="20"/>
      <c r="G6" s="20"/>
      <c r="H6" s="20"/>
      <c r="I6" s="20"/>
      <c r="J6" s="20">
        <f>'SDR Cost Estimate (FY08)'!AS108*0.25*E18^J17</f>
        <v>7467.796154674436</v>
      </c>
      <c r="K6" s="20">
        <f>'SDR Cost Estimate (FY08)'!AS108*0.45*E18^K17</f>
        <v>13912.504236158473</v>
      </c>
      <c r="L6" s="20">
        <f>'SDR Cost Estimate (FY08)'!AS108*0.3*E18^L17</f>
        <v>9599.627922949345</v>
      </c>
      <c r="M6" s="20"/>
      <c r="N6" s="20">
        <f t="shared" si="0"/>
        <v>30979.928313782253</v>
      </c>
    </row>
    <row r="7" spans="1:14" ht="12.75">
      <c r="A7" t="s">
        <v>831</v>
      </c>
      <c r="B7" s="105">
        <v>41760</v>
      </c>
      <c r="C7" s="105">
        <v>42063</v>
      </c>
      <c r="D7" s="20">
        <v>10</v>
      </c>
      <c r="E7" s="20"/>
      <c r="F7" s="20"/>
      <c r="G7" s="20"/>
      <c r="H7" s="20"/>
      <c r="I7" s="20"/>
      <c r="J7" s="20"/>
      <c r="K7" s="20"/>
      <c r="L7" s="20">
        <f>'SDR Cost Estimate (FY08)'!BD108/2*E18^L17</f>
        <v>2222.88143126224</v>
      </c>
      <c r="M7" s="20">
        <f>'SDR Cost Estimate (FY08)'!BD108/2*E18^M17</f>
        <v>2300.682281356418</v>
      </c>
      <c r="N7" s="20">
        <f t="shared" si="0"/>
        <v>4523.5637126186575</v>
      </c>
    </row>
    <row r="8" spans="1:14" ht="12.75">
      <c r="A8" t="s">
        <v>880</v>
      </c>
      <c r="B8" s="105"/>
      <c r="C8" s="105"/>
      <c r="D8" s="20"/>
      <c r="E8" s="20"/>
      <c r="F8" s="20"/>
      <c r="G8" s="20"/>
      <c r="H8" s="20"/>
      <c r="I8" s="20"/>
      <c r="J8" s="20"/>
      <c r="K8" s="20">
        <v>300</v>
      </c>
      <c r="L8" s="20">
        <v>400</v>
      </c>
      <c r="M8" s="20">
        <f>('SDR Cost Estimate (FY08)'!I108*3/22-K8-L8)*E18^M17</f>
        <v>444.6976055731044</v>
      </c>
      <c r="N8" s="20">
        <f t="shared" si="0"/>
        <v>1144.6976055731043</v>
      </c>
    </row>
    <row r="9" spans="1:15" ht="12.75">
      <c r="A9" s="106" t="s">
        <v>843</v>
      </c>
      <c r="B9" s="105"/>
      <c r="C9" s="105"/>
      <c r="D9" s="20">
        <f>SUM(D3:D7)</f>
        <v>101</v>
      </c>
      <c r="E9" s="20">
        <f>SUM(E3:E8)</f>
        <v>738.85</v>
      </c>
      <c r="F9" s="20">
        <f aca="true" t="shared" si="1" ref="F9:M9">SUM(F3:F8)</f>
        <v>709.1510000000001</v>
      </c>
      <c r="G9" s="20">
        <f t="shared" si="1"/>
        <v>1800</v>
      </c>
      <c r="H9" s="20">
        <f t="shared" si="1"/>
        <v>3234.411519302056</v>
      </c>
      <c r="I9" s="20">
        <f t="shared" si="1"/>
        <v>5500</v>
      </c>
      <c r="J9" s="20">
        <f t="shared" si="1"/>
        <v>10503.899194327798</v>
      </c>
      <c r="K9" s="20">
        <f t="shared" si="1"/>
        <v>14212.504236158473</v>
      </c>
      <c r="L9" s="20">
        <f t="shared" si="1"/>
        <v>12222.509354211585</v>
      </c>
      <c r="M9" s="20">
        <f t="shared" si="1"/>
        <v>2745.3798869295224</v>
      </c>
      <c r="N9" s="108">
        <f>SUM(N3:N8)</f>
        <v>51666.70519092943</v>
      </c>
      <c r="O9" s="20"/>
    </row>
    <row r="10" spans="1:14" ht="12.75">
      <c r="A10" s="107" t="s">
        <v>840</v>
      </c>
      <c r="B10" s="105"/>
      <c r="C10" s="105"/>
      <c r="D10" s="20"/>
      <c r="E10" s="20"/>
      <c r="F10" s="20"/>
      <c r="G10" s="20">
        <v>200</v>
      </c>
      <c r="H10" s="20">
        <f>'NIR Imager ROM'!D25/1000*E18</f>
        <v>482.3164467955799</v>
      </c>
      <c r="I10" s="20">
        <f>'NIR Imager ROM'!F25/1000*E18-G10*E18^2</f>
        <v>907.0773086834253</v>
      </c>
      <c r="J10" s="20">
        <f>'NIR Imager ROM'!H25/1000*E18</f>
        <v>1044.4402298739162</v>
      </c>
      <c r="K10" s="20">
        <f>'NIR Imager ROM'!J25/1000*E18</f>
        <v>977.9292997746597</v>
      </c>
      <c r="L10" s="20">
        <f>'NIR Imager ROM'!L25/1000*E18</f>
        <v>156.89266270785623</v>
      </c>
      <c r="M10" s="20"/>
      <c r="N10" s="20">
        <f t="shared" si="0"/>
        <v>3768.6559478354375</v>
      </c>
    </row>
    <row r="11" spans="1:14" ht="12.75">
      <c r="A11" s="107" t="s">
        <v>841</v>
      </c>
      <c r="B11" s="105"/>
      <c r="C11" s="105"/>
      <c r="D11" s="20"/>
      <c r="E11" s="20"/>
      <c r="F11" s="20"/>
      <c r="G11" s="20">
        <v>50</v>
      </c>
      <c r="H11" s="20">
        <f>(189.7-G11)+100</f>
        <v>239.7</v>
      </c>
      <c r="I11" s="20">
        <f>(206.22-100)+500</f>
        <v>606.22</v>
      </c>
      <c r="J11" s="20">
        <v>1300</v>
      </c>
      <c r="K11" s="20">
        <v>1400</v>
      </c>
      <c r="L11" s="20">
        <f>5000-SUM(G11:K11)</f>
        <v>1404.08</v>
      </c>
      <c r="M11" s="20"/>
      <c r="N11" s="20">
        <f t="shared" si="0"/>
        <v>5000</v>
      </c>
    </row>
    <row r="12" spans="1:14" ht="12.75">
      <c r="A12" s="107" t="s">
        <v>842</v>
      </c>
      <c r="B12" s="105"/>
      <c r="C12" s="105"/>
      <c r="D12" s="20"/>
      <c r="E12" s="20"/>
      <c r="F12" s="20"/>
      <c r="G12" s="20"/>
      <c r="H12" s="20"/>
      <c r="I12" s="20">
        <f>'Vis Imager ROM'!D25/1000*E18^2</f>
        <v>499.19752243342515</v>
      </c>
      <c r="J12" s="20">
        <f>'Vis Imager ROM'!F25/1000*E18^2</f>
        <v>1160.568589487345</v>
      </c>
      <c r="K12" s="20">
        <f>'Vis Imager ROM'!H25/1000*E18^2</f>
        <v>948.1637379195033</v>
      </c>
      <c r="L12" s="20">
        <f>'Vis Imager ROM'!J25/1000*E18^2</f>
        <v>879.3249252667729</v>
      </c>
      <c r="M12" s="20">
        <f>'Vis Imager ROM'!L25/1000*E18^2</f>
        <v>162.3839059026312</v>
      </c>
      <c r="N12" s="20">
        <f>SUM(E12:M12)</f>
        <v>3649.6386810096774</v>
      </c>
    </row>
    <row r="13" spans="1:14" ht="12.75">
      <c r="A13" s="107" t="s">
        <v>846</v>
      </c>
      <c r="E13" s="20"/>
      <c r="F13" s="20"/>
      <c r="G13" s="20"/>
      <c r="H13" s="20">
        <v>50</v>
      </c>
      <c r="I13" s="20">
        <v>300</v>
      </c>
      <c r="J13" s="20">
        <v>600</v>
      </c>
      <c r="K13" s="20">
        <v>1000</v>
      </c>
      <c r="L13" s="20">
        <f>SUM(N10:N12)*0.2-SUM(H13:K13)</f>
        <v>533.658925769023</v>
      </c>
      <c r="M13" s="20"/>
      <c r="N13" s="20">
        <f>SUM(E13:M13)</f>
        <v>2483.658925769023</v>
      </c>
    </row>
    <row r="14" spans="1:14" ht="12.75">
      <c r="A14" s="106" t="s">
        <v>844</v>
      </c>
      <c r="B14" s="105"/>
      <c r="C14" s="105"/>
      <c r="D14" s="20"/>
      <c r="E14" s="20"/>
      <c r="F14" s="20"/>
      <c r="G14" s="20">
        <f aca="true" t="shared" si="2" ref="G14:N14">SUM(G10:G13)</f>
        <v>250</v>
      </c>
      <c r="H14" s="20">
        <f t="shared" si="2"/>
        <v>772.0164467955799</v>
      </c>
      <c r="I14" s="20">
        <f t="shared" si="2"/>
        <v>2312.4948311168505</v>
      </c>
      <c r="J14" s="20">
        <f t="shared" si="2"/>
        <v>4105.008819361261</v>
      </c>
      <c r="K14" s="20">
        <f t="shared" si="2"/>
        <v>4326.093037694163</v>
      </c>
      <c r="L14" s="20">
        <f t="shared" si="2"/>
        <v>2973.956513743652</v>
      </c>
      <c r="M14" s="20">
        <f t="shared" si="2"/>
        <v>162.3839059026312</v>
      </c>
      <c r="N14" s="108">
        <f t="shared" si="2"/>
        <v>14901.953554614138</v>
      </c>
    </row>
    <row r="15" spans="1:14" ht="12.75">
      <c r="A15" s="106" t="s">
        <v>845</v>
      </c>
      <c r="B15" s="105"/>
      <c r="C15" s="105"/>
      <c r="D15" s="20"/>
      <c r="E15" s="20">
        <f>E9+E14</f>
        <v>738.85</v>
      </c>
      <c r="F15" s="20">
        <f aca="true" t="shared" si="3" ref="F15:M15">F9+F14</f>
        <v>709.1510000000001</v>
      </c>
      <c r="G15" s="20">
        <f t="shared" si="3"/>
        <v>2050</v>
      </c>
      <c r="H15" s="20">
        <f t="shared" si="3"/>
        <v>4006.4279660976363</v>
      </c>
      <c r="I15" s="20">
        <f t="shared" si="3"/>
        <v>7812.49483111685</v>
      </c>
      <c r="J15" s="20">
        <f t="shared" si="3"/>
        <v>14608.908013689059</v>
      </c>
      <c r="K15" s="20">
        <f t="shared" si="3"/>
        <v>18538.597273852636</v>
      </c>
      <c r="L15" s="20">
        <f t="shared" si="3"/>
        <v>15196.465867955238</v>
      </c>
      <c r="M15" s="20">
        <f t="shared" si="3"/>
        <v>2907.7637928321537</v>
      </c>
      <c r="N15" s="108">
        <f>N9+N14</f>
        <v>66568.65874554357</v>
      </c>
    </row>
    <row r="16" spans="1:14" ht="12.75">
      <c r="A16" s="106"/>
      <c r="B16" s="105"/>
      <c r="C16" s="105"/>
      <c r="D16" s="20"/>
      <c r="E16" s="20"/>
      <c r="F16" s="20"/>
      <c r="G16" s="20"/>
      <c r="H16" s="20"/>
      <c r="I16" s="20"/>
      <c r="J16" s="20"/>
      <c r="K16" s="20"/>
      <c r="L16" s="20"/>
      <c r="M16" s="20"/>
      <c r="N16" s="108"/>
    </row>
    <row r="17" spans="1:13" ht="12.75">
      <c r="A17" t="s">
        <v>838</v>
      </c>
      <c r="G17">
        <v>1</v>
      </c>
      <c r="H17">
        <v>2</v>
      </c>
      <c r="I17">
        <v>3</v>
      </c>
      <c r="J17">
        <v>4</v>
      </c>
      <c r="K17">
        <v>5</v>
      </c>
      <c r="L17">
        <v>6</v>
      </c>
      <c r="M17">
        <v>7</v>
      </c>
    </row>
    <row r="18" spans="1:5" ht="12.75">
      <c r="A18" t="s">
        <v>832</v>
      </c>
      <c r="E18">
        <v>1.035</v>
      </c>
    </row>
  </sheetData>
  <mergeCells count="2">
    <mergeCell ref="G1:M1"/>
    <mergeCell ref="E1:F1"/>
  </mergeCells>
  <printOptions gridLines="1"/>
  <pageMargins left="0.61" right="0.38" top="0.69" bottom="0.36" header="0.5" footer="0.26"/>
  <pageSetup horizontalDpi="600" verticalDpi="600" orientation="landscape" r:id="rId4"/>
  <headerFooter alignWithMargins="0">
    <oddFooter>&amp;L&amp;F&amp;R&amp;A</oddFooter>
  </headerFooter>
  <drawing r:id="rId3"/>
  <legacyDrawing r:id="rId2"/>
</worksheet>
</file>

<file path=xl/worksheets/sheet3.xml><?xml version="1.0" encoding="utf-8"?>
<worksheet xmlns="http://schemas.openxmlformats.org/spreadsheetml/2006/main" xmlns:r="http://schemas.openxmlformats.org/officeDocument/2006/relationships">
  <dimension ref="A1:E58"/>
  <sheetViews>
    <sheetView workbookViewId="0" topLeftCell="A10">
      <selection activeCell="D11" sqref="D11"/>
    </sheetView>
  </sheetViews>
  <sheetFormatPr defaultColWidth="9.140625" defaultRowHeight="12.75"/>
  <cols>
    <col min="1" max="1" width="4.140625" style="1" customWidth="1"/>
    <col min="2" max="2" width="19.57421875" style="0" customWidth="1"/>
    <col min="3" max="3" width="46.8515625" style="0" customWidth="1"/>
    <col min="4" max="4" width="28.7109375" style="0" customWidth="1"/>
    <col min="5" max="5" width="5.28125" style="0" customWidth="1"/>
  </cols>
  <sheetData>
    <row r="1" spans="4:5" ht="12.75">
      <c r="D1" s="132" t="s">
        <v>400</v>
      </c>
      <c r="E1" s="142"/>
    </row>
    <row r="2" spans="1:5" ht="12.75">
      <c r="A2" s="64" t="s">
        <v>401</v>
      </c>
      <c r="B2" s="64" t="s">
        <v>399</v>
      </c>
      <c r="C2" s="64" t="s">
        <v>811</v>
      </c>
      <c r="D2" s="64" t="s">
        <v>857</v>
      </c>
      <c r="E2" s="64" t="s">
        <v>856</v>
      </c>
    </row>
    <row r="3" spans="1:5" ht="89.25">
      <c r="A3" s="116">
        <v>1</v>
      </c>
      <c r="B3" s="117" t="s">
        <v>274</v>
      </c>
      <c r="C3" s="117" t="s">
        <v>860</v>
      </c>
      <c r="D3" s="117" t="s">
        <v>288</v>
      </c>
      <c r="E3" s="118"/>
    </row>
    <row r="4" spans="1:5" ht="63.75">
      <c r="A4" s="1">
        <f>A3+1</f>
        <v>2</v>
      </c>
      <c r="B4" s="2" t="s">
        <v>862</v>
      </c>
      <c r="C4" s="2" t="s">
        <v>878</v>
      </c>
      <c r="D4" s="2" t="s">
        <v>781</v>
      </c>
      <c r="E4" s="110">
        <f>(0.075+0.02)*1.25*'Cost Est (then-yr)'!E18^4</f>
        <v>0.13626835632421871</v>
      </c>
    </row>
    <row r="5" spans="1:5" ht="229.5">
      <c r="A5" s="1">
        <f>A4+1</f>
        <v>3</v>
      </c>
      <c r="B5" s="2" t="s">
        <v>282</v>
      </c>
      <c r="C5" s="2" t="s">
        <v>358</v>
      </c>
      <c r="D5" s="2" t="s">
        <v>354</v>
      </c>
      <c r="E5" s="110">
        <f>(7.3*0.15+0.08+0.025+0.075/2+0.1/2)*'Cost Est (then-yr)'!E18^4</f>
        <v>1.4774358633046871</v>
      </c>
    </row>
    <row r="6" spans="1:5" ht="127.5">
      <c r="A6" s="1">
        <f aca="true" t="shared" si="0" ref="A6:A19">A5+1</f>
        <v>4</v>
      </c>
      <c r="B6" s="2" t="s">
        <v>854</v>
      </c>
      <c r="C6" s="2" t="s">
        <v>855</v>
      </c>
      <c r="D6" s="2" t="s">
        <v>786</v>
      </c>
      <c r="E6" s="110">
        <f>(0.04*2+0.17*2)*1.25*'Cost Est (then-yr)'!E18^4</f>
        <v>0.6024495753281248</v>
      </c>
    </row>
    <row r="7" spans="1:5" ht="165.75">
      <c r="A7" s="1">
        <f t="shared" si="0"/>
        <v>5</v>
      </c>
      <c r="B7" s="2" t="s">
        <v>785</v>
      </c>
      <c r="C7" s="2" t="s">
        <v>791</v>
      </c>
      <c r="D7" s="2" t="s">
        <v>787</v>
      </c>
      <c r="E7" s="110">
        <f>4*(0.02+0.033)*1.25*'Cost Est (then-yr)'!E18^4</f>
        <v>0.30409359516562495</v>
      </c>
    </row>
    <row r="8" spans="1:5" ht="140.25">
      <c r="A8" s="1">
        <f t="shared" si="0"/>
        <v>6</v>
      </c>
      <c r="B8" s="2" t="s">
        <v>143</v>
      </c>
      <c r="C8" s="2" t="s">
        <v>353</v>
      </c>
      <c r="D8" s="2" t="s">
        <v>789</v>
      </c>
      <c r="E8" s="110">
        <f>(0.04*7*0.5*1.25+0.117*0.1+0.05*1.25+0.05*1.25)*'Cost Est (then-yr)'!E18^4</f>
        <v>0.35768291929481244</v>
      </c>
    </row>
    <row r="9" spans="1:5" ht="140.25">
      <c r="A9" s="1">
        <f t="shared" si="0"/>
        <v>7</v>
      </c>
      <c r="B9" s="2" t="s">
        <v>858</v>
      </c>
      <c r="C9" s="2" t="s">
        <v>859</v>
      </c>
      <c r="D9" s="2" t="s">
        <v>790</v>
      </c>
      <c r="E9" s="110">
        <f>(0.15+0.15+0.05)*'Cost Est (then-yr)'!E18^4</f>
        <v>0.40163305021874984</v>
      </c>
    </row>
    <row r="10" spans="1:5" ht="242.25">
      <c r="A10" s="1">
        <f t="shared" si="0"/>
        <v>8</v>
      </c>
      <c r="B10" s="122" t="s">
        <v>356</v>
      </c>
      <c r="C10" s="121" t="s">
        <v>357</v>
      </c>
      <c r="D10" s="2" t="s">
        <v>329</v>
      </c>
      <c r="E10" s="110">
        <f>(0.527*0.35+(0.1-0.045))*'Cost Est (then-yr)'!E18^3</f>
        <v>0.26548249516874994</v>
      </c>
    </row>
    <row r="11" spans="1:5" ht="63.75">
      <c r="A11" s="1">
        <f t="shared" si="0"/>
        <v>9</v>
      </c>
      <c r="B11" s="2" t="s">
        <v>279</v>
      </c>
      <c r="C11" s="2" t="s">
        <v>280</v>
      </c>
      <c r="D11" s="2" t="s">
        <v>281</v>
      </c>
      <c r="E11" s="110">
        <f>(0.09-0.02)*1.25*'Cost Est (then-yr)'!E18^4</f>
        <v>0.10040826255468746</v>
      </c>
    </row>
    <row r="12" spans="1:5" ht="102">
      <c r="A12" s="1">
        <f t="shared" si="0"/>
        <v>10</v>
      </c>
      <c r="B12" s="111" t="s">
        <v>275</v>
      </c>
      <c r="C12" s="111" t="s">
        <v>287</v>
      </c>
      <c r="D12" s="2" t="s">
        <v>875</v>
      </c>
      <c r="E12" s="110">
        <f>(0.15+0.06*1.25)*'Cost Est (then-yr)'!E18^4</f>
        <v>0.2581926751406249</v>
      </c>
    </row>
    <row r="13" spans="1:5" ht="63.75">
      <c r="A13" s="1">
        <f t="shared" si="0"/>
        <v>11</v>
      </c>
      <c r="B13" s="2" t="s">
        <v>861</v>
      </c>
      <c r="C13" s="2" t="s">
        <v>144</v>
      </c>
      <c r="D13" s="2" t="s">
        <v>148</v>
      </c>
      <c r="E13" s="110">
        <f>(3.727-0.4)*1.2</f>
        <v>3.9924</v>
      </c>
    </row>
    <row r="14" spans="1:5" ht="102">
      <c r="A14" s="1">
        <f t="shared" si="0"/>
        <v>12</v>
      </c>
      <c r="B14" s="2" t="s">
        <v>284</v>
      </c>
      <c r="C14" s="2" t="s">
        <v>320</v>
      </c>
      <c r="D14" s="2" t="s">
        <v>285</v>
      </c>
      <c r="E14">
        <f>0.025*'Cost Est (then-yr)'!E18^4</f>
        <v>0.028688075015624995</v>
      </c>
    </row>
    <row r="15" spans="1:5" ht="38.25">
      <c r="A15" s="1">
        <f t="shared" si="0"/>
        <v>13</v>
      </c>
      <c r="B15" s="2" t="s">
        <v>871</v>
      </c>
      <c r="C15" s="2" t="s">
        <v>872</v>
      </c>
      <c r="D15" s="2" t="s">
        <v>873</v>
      </c>
      <c r="E15">
        <f>0.05*'Cost Est (then-yr)'!E18^4</f>
        <v>0.05737615003124999</v>
      </c>
    </row>
    <row r="16" spans="1:5" ht="76.5">
      <c r="A16" s="1">
        <f t="shared" si="0"/>
        <v>14</v>
      </c>
      <c r="B16" s="2" t="s">
        <v>876</v>
      </c>
      <c r="C16" s="2" t="s">
        <v>321</v>
      </c>
      <c r="D16" s="2" t="s">
        <v>877</v>
      </c>
      <c r="E16">
        <f>(0.017+0.003+0.03+0.01)*'Cost Est (then-yr)'!E18^4</f>
        <v>0.06885138003749999</v>
      </c>
    </row>
    <row r="17" spans="1:5" ht="89.25">
      <c r="A17" s="1">
        <f t="shared" si="0"/>
        <v>15</v>
      </c>
      <c r="B17" s="2" t="s">
        <v>145</v>
      </c>
      <c r="C17" s="2" t="s">
        <v>146</v>
      </c>
      <c r="D17" s="2" t="s">
        <v>147</v>
      </c>
      <c r="E17" s="110">
        <f>(7.56*0.03)*'Cost Est (then-yr)'!E18^2</f>
        <v>0.24295382999999995</v>
      </c>
    </row>
    <row r="18" spans="1:5" ht="102">
      <c r="A18" s="1">
        <f t="shared" si="0"/>
        <v>16</v>
      </c>
      <c r="B18" s="2" t="s">
        <v>782</v>
      </c>
      <c r="C18" s="2" t="s">
        <v>874</v>
      </c>
      <c r="D18" s="2" t="s">
        <v>322</v>
      </c>
      <c r="E18" s="110">
        <f>(1.453+0.777)*0.15*'Cost Est (then-yr)'!E18^4</f>
        <v>0.38384644370906235</v>
      </c>
    </row>
    <row r="19" spans="1:5" ht="102">
      <c r="A19" s="1">
        <f t="shared" si="0"/>
        <v>17</v>
      </c>
      <c r="B19" s="2" t="s">
        <v>783</v>
      </c>
      <c r="C19" s="2" t="s">
        <v>784</v>
      </c>
      <c r="D19" s="2" t="s">
        <v>323</v>
      </c>
      <c r="E19" s="110">
        <f>(2.241*0.02+0.1+0.005)*'Cost Est (then-yr)'!E18^4</f>
        <v>0.17192189595363747</v>
      </c>
    </row>
    <row r="20" spans="2:5" ht="51">
      <c r="B20" s="2" t="s">
        <v>867</v>
      </c>
      <c r="C20" s="2" t="s">
        <v>868</v>
      </c>
      <c r="D20" s="2" t="s">
        <v>869</v>
      </c>
      <c r="E20">
        <f>-0.000075*7000*'Cost Est (then-yr)'!E18^4</f>
        <v>-0.6024495753281247</v>
      </c>
    </row>
    <row r="21" spans="2:5" ht="12.75">
      <c r="B21" s="2"/>
      <c r="C21" s="2"/>
      <c r="D21" s="109" t="s">
        <v>289</v>
      </c>
      <c r="E21" s="110">
        <f>SUM(E2:E20)</f>
        <v>8.24723499191923</v>
      </c>
    </row>
    <row r="22" spans="2:5" ht="12.75">
      <c r="B22" s="2"/>
      <c r="C22" s="2"/>
      <c r="D22" s="112" t="s">
        <v>879</v>
      </c>
      <c r="E22" s="115">
        <f>60-('Cost Est (then-yr)'!N15/1000-'Proposed Savings'!E21)</f>
        <v>1.6785762463756697</v>
      </c>
    </row>
    <row r="23" spans="2:5" ht="12.75">
      <c r="B23" s="2"/>
      <c r="C23" s="2"/>
      <c r="D23" s="112"/>
      <c r="E23" s="115"/>
    </row>
    <row r="24" spans="1:5" ht="12.75">
      <c r="A24" s="133" t="s">
        <v>919</v>
      </c>
      <c r="B24" s="134"/>
      <c r="C24" s="125" t="s">
        <v>63</v>
      </c>
      <c r="D24" s="112"/>
      <c r="E24" s="115"/>
    </row>
    <row r="25" spans="1:5" ht="25.5">
      <c r="A25" s="126" t="s">
        <v>920</v>
      </c>
      <c r="B25" s="127" t="s">
        <v>61</v>
      </c>
      <c r="C25" s="127" t="s">
        <v>67</v>
      </c>
      <c r="D25" s="112"/>
      <c r="E25" s="115"/>
    </row>
    <row r="26" spans="1:5" ht="12.75">
      <c r="A26" s="126" t="s">
        <v>921</v>
      </c>
      <c r="B26" s="127" t="s">
        <v>58</v>
      </c>
      <c r="C26" s="127" t="s">
        <v>69</v>
      </c>
      <c r="D26" s="112"/>
      <c r="E26" s="115"/>
    </row>
    <row r="27" spans="1:5" ht="12.75">
      <c r="A27" s="126">
        <v>2</v>
      </c>
      <c r="B27" s="127" t="s">
        <v>59</v>
      </c>
      <c r="C27" s="127" t="s">
        <v>64</v>
      </c>
      <c r="D27" s="112"/>
      <c r="E27" s="115"/>
    </row>
    <row r="28" spans="1:5" ht="38.25">
      <c r="A28" s="126">
        <v>3</v>
      </c>
      <c r="B28" s="127" t="s">
        <v>70</v>
      </c>
      <c r="C28" s="127" t="s">
        <v>66</v>
      </c>
      <c r="D28" s="112"/>
      <c r="E28" s="115"/>
    </row>
    <row r="29" spans="1:5" ht="25.5">
      <c r="A29" s="126">
        <v>4</v>
      </c>
      <c r="B29" s="127" t="s">
        <v>60</v>
      </c>
      <c r="C29" s="127" t="s">
        <v>65</v>
      </c>
      <c r="D29" s="112"/>
      <c r="E29" s="115"/>
    </row>
    <row r="30" spans="1:5" ht="12.75">
      <c r="A30" s="126">
        <v>5</v>
      </c>
      <c r="B30" s="127" t="s">
        <v>62</v>
      </c>
      <c r="C30" s="127" t="s">
        <v>68</v>
      </c>
      <c r="D30" s="112"/>
      <c r="E30" s="115"/>
    </row>
    <row r="31" spans="2:5" ht="12.75">
      <c r="B31" s="2"/>
      <c r="C31" s="2"/>
      <c r="D31" s="112"/>
      <c r="E31" s="115"/>
    </row>
    <row r="32" spans="1:5" ht="12.75">
      <c r="A32" s="140" t="s">
        <v>881</v>
      </c>
      <c r="B32" s="140"/>
      <c r="C32" s="140"/>
      <c r="D32" s="140"/>
      <c r="E32" s="140"/>
    </row>
    <row r="33" spans="2:5" ht="12.75">
      <c r="B33" s="138" t="s">
        <v>882</v>
      </c>
      <c r="C33" s="138"/>
      <c r="D33" s="138"/>
      <c r="E33" s="138"/>
    </row>
    <row r="34" spans="2:5" ht="25.5" customHeight="1">
      <c r="B34" s="138" t="s">
        <v>864</v>
      </c>
      <c r="C34" s="138"/>
      <c r="D34" s="138"/>
      <c r="E34" s="138"/>
    </row>
    <row r="35" spans="2:5" ht="12.75">
      <c r="B35" s="138" t="s">
        <v>883</v>
      </c>
      <c r="C35" s="138"/>
      <c r="D35" s="138"/>
      <c r="E35" s="138"/>
    </row>
    <row r="36" spans="2:5" ht="12.75">
      <c r="B36" s="138" t="s">
        <v>780</v>
      </c>
      <c r="C36" s="138"/>
      <c r="D36" s="138"/>
      <c r="E36" s="138"/>
    </row>
    <row r="37" spans="2:5" ht="12.75">
      <c r="B37" s="138" t="s">
        <v>277</v>
      </c>
      <c r="C37" s="138"/>
      <c r="D37" s="138"/>
      <c r="E37" s="138"/>
    </row>
    <row r="38" spans="2:5" ht="12.75">
      <c r="B38" s="143" t="s">
        <v>788</v>
      </c>
      <c r="C38" s="143"/>
      <c r="D38" s="143"/>
      <c r="E38" s="143"/>
    </row>
    <row r="39" spans="2:5" ht="12.75">
      <c r="B39" s="138" t="s">
        <v>276</v>
      </c>
      <c r="C39" s="142"/>
      <c r="D39" s="142"/>
      <c r="E39" s="142"/>
    </row>
    <row r="40" spans="2:5" ht="12.75">
      <c r="B40" s="138" t="s">
        <v>278</v>
      </c>
      <c r="C40" s="142"/>
      <c r="D40" s="142"/>
      <c r="E40" s="142"/>
    </row>
    <row r="41" spans="2:5" ht="12.75">
      <c r="B41" s="138" t="s">
        <v>283</v>
      </c>
      <c r="C41" s="142"/>
      <c r="D41" s="142"/>
      <c r="E41" s="142"/>
    </row>
    <row r="42" spans="2:5" ht="25.5" customHeight="1">
      <c r="B42" s="138" t="s">
        <v>863</v>
      </c>
      <c r="C42" s="142"/>
      <c r="D42" s="142"/>
      <c r="E42" s="142"/>
    </row>
    <row r="43" spans="2:5" ht="25.5" customHeight="1">
      <c r="B43" s="138" t="s">
        <v>866</v>
      </c>
      <c r="C43" s="138"/>
      <c r="D43" s="138"/>
      <c r="E43" s="138"/>
    </row>
    <row r="44" spans="2:5" ht="12.75">
      <c r="B44" s="2"/>
      <c r="C44" s="119"/>
      <c r="D44" s="119"/>
      <c r="E44" s="119"/>
    </row>
    <row r="45" spans="1:5" ht="12.75">
      <c r="A45" s="141" t="s">
        <v>286</v>
      </c>
      <c r="B45" s="141"/>
      <c r="C45" s="141"/>
      <c r="D45" s="141"/>
      <c r="E45" s="141"/>
    </row>
    <row r="46" spans="2:5" ht="25.5" customHeight="1">
      <c r="B46" s="144" t="s">
        <v>72</v>
      </c>
      <c r="C46" s="144"/>
      <c r="D46" s="144"/>
      <c r="E46" s="144"/>
    </row>
    <row r="47" spans="2:5" ht="112.5" customHeight="1">
      <c r="B47" s="137" t="s">
        <v>73</v>
      </c>
      <c r="C47" s="137"/>
      <c r="D47" s="137"/>
      <c r="E47" s="137"/>
    </row>
    <row r="48" spans="2:5" ht="39" customHeight="1">
      <c r="B48" s="135" t="s">
        <v>74</v>
      </c>
      <c r="C48" s="139"/>
      <c r="D48" s="139"/>
      <c r="E48" s="139"/>
    </row>
    <row r="49" spans="2:5" ht="51" customHeight="1">
      <c r="B49" s="136" t="s">
        <v>328</v>
      </c>
      <c r="C49" s="136"/>
      <c r="D49" s="136"/>
      <c r="E49" s="136"/>
    </row>
    <row r="50" spans="2:5" ht="51.75" customHeight="1">
      <c r="B50" s="135" t="s">
        <v>335</v>
      </c>
      <c r="C50" s="136"/>
      <c r="D50" s="136"/>
      <c r="E50" s="136"/>
    </row>
    <row r="51" spans="2:5" ht="12.75">
      <c r="B51" s="136" t="s">
        <v>865</v>
      </c>
      <c r="C51" s="136"/>
      <c r="D51" s="136"/>
      <c r="E51" s="136"/>
    </row>
    <row r="52" spans="2:5" ht="102.75" customHeight="1">
      <c r="B52" s="135" t="s">
        <v>336</v>
      </c>
      <c r="C52" s="136"/>
      <c r="D52" s="136"/>
      <c r="E52" s="136"/>
    </row>
    <row r="53" spans="2:5" ht="25.5" customHeight="1">
      <c r="B53" s="137" t="s">
        <v>324</v>
      </c>
      <c r="C53" s="137"/>
      <c r="D53" s="137"/>
      <c r="E53" s="137"/>
    </row>
    <row r="54" spans="2:5" ht="12.75">
      <c r="B54" s="137" t="s">
        <v>327</v>
      </c>
      <c r="C54" s="137"/>
      <c r="D54" s="137"/>
      <c r="E54" s="137"/>
    </row>
    <row r="55" spans="2:5" ht="12.75">
      <c r="B55" s="136" t="s">
        <v>325</v>
      </c>
      <c r="C55" s="136"/>
      <c r="D55" s="136"/>
      <c r="E55" s="136"/>
    </row>
    <row r="56" spans="2:5" ht="12.75">
      <c r="B56" s="136" t="s">
        <v>326</v>
      </c>
      <c r="C56" s="136"/>
      <c r="D56" s="136"/>
      <c r="E56" s="136"/>
    </row>
    <row r="57" spans="2:5" ht="37.5" customHeight="1">
      <c r="B57" s="135" t="s">
        <v>355</v>
      </c>
      <c r="C57" s="135"/>
      <c r="D57" s="135"/>
      <c r="E57" s="135"/>
    </row>
    <row r="58" spans="2:5" ht="12.75">
      <c r="B58" s="136" t="s">
        <v>330</v>
      </c>
      <c r="C58" s="136"/>
      <c r="D58" s="136"/>
      <c r="E58" s="136"/>
    </row>
  </sheetData>
  <mergeCells count="28">
    <mergeCell ref="B40:E40"/>
    <mergeCell ref="B41:E41"/>
    <mergeCell ref="B42:E42"/>
    <mergeCell ref="B46:E46"/>
    <mergeCell ref="A32:E32"/>
    <mergeCell ref="A45:E45"/>
    <mergeCell ref="B36:E36"/>
    <mergeCell ref="D1:E1"/>
    <mergeCell ref="B33:E33"/>
    <mergeCell ref="B34:E34"/>
    <mergeCell ref="B35:E35"/>
    <mergeCell ref="B39:E39"/>
    <mergeCell ref="B37:E37"/>
    <mergeCell ref="B38:E38"/>
    <mergeCell ref="B43:E43"/>
    <mergeCell ref="B47:E47"/>
    <mergeCell ref="B48:E48"/>
    <mergeCell ref="B49:E49"/>
    <mergeCell ref="A24:B24"/>
    <mergeCell ref="B57:E57"/>
    <mergeCell ref="B58:E58"/>
    <mergeCell ref="B54:E54"/>
    <mergeCell ref="B53:E53"/>
    <mergeCell ref="B55:E55"/>
    <mergeCell ref="B56:E56"/>
    <mergeCell ref="B50:E50"/>
    <mergeCell ref="B51:E51"/>
    <mergeCell ref="B52:E52"/>
  </mergeCells>
  <printOptions gridLines="1"/>
  <pageMargins left="0.26" right="0.17" top="0.8" bottom="0.56" header="0.5" footer="0.25"/>
  <pageSetup horizontalDpi="600" verticalDpi="600" orientation="portrait"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dimension ref="A1:Q26"/>
  <sheetViews>
    <sheetView tabSelected="1" workbookViewId="0" topLeftCell="A1">
      <selection activeCell="A20" sqref="A20:E26"/>
    </sheetView>
  </sheetViews>
  <sheetFormatPr defaultColWidth="9.140625" defaultRowHeight="12.75"/>
  <cols>
    <col min="1" max="1" width="18.7109375" style="0" customWidth="1"/>
    <col min="2" max="4" width="20.7109375" style="0" customWidth="1"/>
    <col min="5" max="5" width="11.7109375" style="0" customWidth="1"/>
    <col min="8" max="8" width="29.00390625" style="0" customWidth="1"/>
  </cols>
  <sheetData>
    <row r="1" spans="1:14" s="65" customFormat="1" ht="12.75">
      <c r="A1" s="148"/>
      <c r="B1" s="148" t="s">
        <v>340</v>
      </c>
      <c r="C1" s="148" t="s">
        <v>341</v>
      </c>
      <c r="D1" s="148" t="s">
        <v>811</v>
      </c>
      <c r="E1" s="148" t="s">
        <v>349</v>
      </c>
      <c r="H1" s="148" t="s">
        <v>26</v>
      </c>
      <c r="I1" s="148" t="s">
        <v>12</v>
      </c>
      <c r="J1" s="148" t="s">
        <v>27</v>
      </c>
      <c r="K1" s="148" t="s">
        <v>28</v>
      </c>
      <c r="L1" s="148" t="s">
        <v>29</v>
      </c>
      <c r="N1" s="65" t="s">
        <v>34</v>
      </c>
    </row>
    <row r="2" spans="1:17" ht="12.75">
      <c r="A2" s="149" t="s">
        <v>337</v>
      </c>
      <c r="B2" s="126" t="s">
        <v>338</v>
      </c>
      <c r="C2" s="126" t="s">
        <v>339</v>
      </c>
      <c r="D2" s="126" t="s">
        <v>350</v>
      </c>
      <c r="E2" s="126"/>
      <c r="H2" s="123" t="s">
        <v>30</v>
      </c>
      <c r="I2" s="159"/>
      <c r="J2" s="159"/>
      <c r="K2" s="123"/>
      <c r="L2" s="123"/>
      <c r="N2" t="s">
        <v>35</v>
      </c>
      <c r="O2" t="s">
        <v>36</v>
      </c>
      <c r="P2" t="s">
        <v>37</v>
      </c>
      <c r="Q2" t="s">
        <v>38</v>
      </c>
    </row>
    <row r="3" spans="1:17" ht="12.75">
      <c r="A3" s="149" t="s">
        <v>342</v>
      </c>
      <c r="B3" s="126" t="s">
        <v>343</v>
      </c>
      <c r="C3" s="126" t="s">
        <v>344</v>
      </c>
      <c r="D3" s="126" t="s">
        <v>351</v>
      </c>
      <c r="E3" s="158">
        <f>'Proposed Savings'!E6+'Proposed Savings'!E7</f>
        <v>0.9065431704937498</v>
      </c>
      <c r="H3" s="123" t="s">
        <v>728</v>
      </c>
      <c r="I3" s="159"/>
      <c r="J3" s="159"/>
      <c r="K3" s="159"/>
      <c r="L3" s="159"/>
      <c r="N3">
        <v>0.7</v>
      </c>
      <c r="P3">
        <v>0.7</v>
      </c>
      <c r="Q3">
        <v>0.88</v>
      </c>
    </row>
    <row r="4" spans="1:17" ht="12.75">
      <c r="A4" s="149" t="s">
        <v>345</v>
      </c>
      <c r="B4" s="126" t="s">
        <v>346</v>
      </c>
      <c r="C4" s="126" t="s">
        <v>347</v>
      </c>
      <c r="D4" s="126" t="s">
        <v>352</v>
      </c>
      <c r="E4" s="158">
        <f>'Proposed Savings'!E8</f>
        <v>0.35768291929481244</v>
      </c>
      <c r="H4" s="123" t="s">
        <v>31</v>
      </c>
      <c r="I4" s="159"/>
      <c r="J4" s="159"/>
      <c r="K4" s="123"/>
      <c r="L4" s="123"/>
      <c r="N4">
        <v>0.8</v>
      </c>
      <c r="O4">
        <v>0.76</v>
      </c>
      <c r="P4">
        <v>0.7</v>
      </c>
      <c r="Q4">
        <v>0.93</v>
      </c>
    </row>
    <row r="5" spans="1:17" ht="12.75">
      <c r="A5" s="149" t="s">
        <v>348</v>
      </c>
      <c r="B5" s="126" t="s">
        <v>8</v>
      </c>
      <c r="C5" s="126" t="s">
        <v>9</v>
      </c>
      <c r="D5" s="126" t="s">
        <v>351</v>
      </c>
      <c r="E5" s="158">
        <f>'Proposed Savings'!E5</f>
        <v>1.4774358633046871</v>
      </c>
      <c r="H5" s="123" t="s">
        <v>32</v>
      </c>
      <c r="I5" s="160"/>
      <c r="J5" s="159"/>
      <c r="K5" s="123"/>
      <c r="L5" s="123"/>
      <c r="N5">
        <v>0.9</v>
      </c>
      <c r="P5">
        <v>0.7</v>
      </c>
      <c r="Q5">
        <v>0.95</v>
      </c>
    </row>
    <row r="6" spans="1:17" ht="12.75">
      <c r="A6" s="149" t="s">
        <v>4</v>
      </c>
      <c r="B6" s="126">
        <v>64</v>
      </c>
      <c r="C6" s="150" t="s">
        <v>5</v>
      </c>
      <c r="D6" s="150" t="s">
        <v>6</v>
      </c>
      <c r="E6" s="158"/>
      <c r="H6" s="123" t="s">
        <v>33</v>
      </c>
      <c r="I6" s="123"/>
      <c r="J6" s="159"/>
      <c r="K6" s="159"/>
      <c r="L6" s="123"/>
      <c r="N6">
        <v>1</v>
      </c>
      <c r="O6">
        <v>0.75</v>
      </c>
      <c r="P6">
        <v>0.7</v>
      </c>
      <c r="Q6">
        <v>0.5</v>
      </c>
    </row>
    <row r="7" spans="1:16" ht="12.75">
      <c r="A7" s="149" t="s">
        <v>1</v>
      </c>
      <c r="B7" s="124" t="s">
        <v>3</v>
      </c>
      <c r="C7" s="155"/>
      <c r="D7" s="156"/>
      <c r="E7" s="158">
        <f>0.7*'Proposed Savings'!E18</f>
        <v>0.26869251059634364</v>
      </c>
      <c r="N7">
        <v>1</v>
      </c>
      <c r="O7">
        <v>0.75</v>
      </c>
      <c r="P7">
        <v>0.8</v>
      </c>
    </row>
    <row r="8" spans="1:16" ht="12.75">
      <c r="A8" s="149" t="s">
        <v>2</v>
      </c>
      <c r="B8" s="124" t="s">
        <v>7</v>
      </c>
      <c r="C8" s="155"/>
      <c r="D8" s="156"/>
      <c r="E8" s="158">
        <f>'Proposed Savings'!E19</f>
        <v>0.17192189595363747</v>
      </c>
      <c r="N8">
        <v>1.25</v>
      </c>
      <c r="O8">
        <v>0.78</v>
      </c>
      <c r="P8">
        <v>0.8</v>
      </c>
    </row>
    <row r="9" spans="1:16" ht="25.5" customHeight="1">
      <c r="A9" s="153" t="s">
        <v>22</v>
      </c>
      <c r="B9" s="154" t="s">
        <v>0</v>
      </c>
      <c r="C9" s="151"/>
      <c r="D9" s="152"/>
      <c r="E9" s="157">
        <f>SUM(E2:E8)</f>
        <v>3.18227635964323</v>
      </c>
      <c r="N9">
        <v>2</v>
      </c>
      <c r="O9">
        <v>0.77</v>
      </c>
      <c r="P9">
        <v>0.8</v>
      </c>
    </row>
    <row r="11" spans="1:5" ht="12.75">
      <c r="A11" s="148"/>
      <c r="B11" s="148" t="s">
        <v>340</v>
      </c>
      <c r="C11" s="148" t="s">
        <v>341</v>
      </c>
      <c r="D11" s="148" t="s">
        <v>811</v>
      </c>
      <c r="E11" s="148" t="s">
        <v>349</v>
      </c>
    </row>
    <row r="12" spans="1:5" ht="12.75">
      <c r="A12" s="149" t="s">
        <v>12</v>
      </c>
      <c r="B12" s="126" t="s">
        <v>13</v>
      </c>
      <c r="C12" s="126" t="s">
        <v>14</v>
      </c>
      <c r="D12" s="126" t="s">
        <v>20</v>
      </c>
      <c r="E12" s="126" t="s">
        <v>19</v>
      </c>
    </row>
    <row r="13" spans="1:5" ht="12.75">
      <c r="A13" s="149" t="s">
        <v>840</v>
      </c>
      <c r="B13" s="126" t="s">
        <v>11</v>
      </c>
      <c r="C13" s="126" t="s">
        <v>15</v>
      </c>
      <c r="D13" s="126" t="s">
        <v>21</v>
      </c>
      <c r="E13" s="158">
        <f>-0.4*1.2</f>
        <v>-0.48</v>
      </c>
    </row>
    <row r="14" spans="1:5" ht="12.75">
      <c r="A14" s="149" t="s">
        <v>842</v>
      </c>
      <c r="B14" s="126" t="s">
        <v>11</v>
      </c>
      <c r="C14" s="126" t="s">
        <v>10</v>
      </c>
      <c r="D14" s="126" t="s">
        <v>25</v>
      </c>
      <c r="E14" s="158">
        <f>'Proposed Savings'!E13-E13</f>
        <v>4.4724</v>
      </c>
    </row>
    <row r="15" spans="1:5" ht="12.75">
      <c r="A15" s="149" t="s">
        <v>16</v>
      </c>
      <c r="B15" s="126" t="s">
        <v>10</v>
      </c>
      <c r="C15" s="126" t="s">
        <v>10</v>
      </c>
      <c r="D15" s="126"/>
      <c r="E15" s="158"/>
    </row>
    <row r="16" spans="1:5" ht="12.75">
      <c r="A16" s="149" t="s">
        <v>17</v>
      </c>
      <c r="B16" s="126" t="s">
        <v>11</v>
      </c>
      <c r="C16" s="126" t="s">
        <v>10</v>
      </c>
      <c r="D16" s="126" t="s">
        <v>24</v>
      </c>
      <c r="E16" s="158">
        <f>'Proposed Savings'!E12</f>
        <v>0.2581926751406249</v>
      </c>
    </row>
    <row r="17" spans="1:5" ht="12.75">
      <c r="A17" s="149" t="s">
        <v>18</v>
      </c>
      <c r="B17" s="126" t="s">
        <v>11</v>
      </c>
      <c r="C17" s="126" t="s">
        <v>11</v>
      </c>
      <c r="D17" s="126"/>
      <c r="E17" s="158"/>
    </row>
    <row r="18" spans="1:5" ht="12.75">
      <c r="A18" s="148" t="s">
        <v>22</v>
      </c>
      <c r="B18" s="124" t="s">
        <v>23</v>
      </c>
      <c r="C18" s="155"/>
      <c r="D18" s="156"/>
      <c r="E18" s="157">
        <f>SUM(E13:E17)</f>
        <v>4.250592675140625</v>
      </c>
    </row>
    <row r="20" spans="1:5" ht="12.75">
      <c r="A20" s="148"/>
      <c r="B20" s="148" t="s">
        <v>340</v>
      </c>
      <c r="C20" s="148" t="s">
        <v>341</v>
      </c>
      <c r="D20" s="148" t="s">
        <v>811</v>
      </c>
      <c r="E20" s="148" t="s">
        <v>349</v>
      </c>
    </row>
    <row r="21" spans="1:5" ht="12.75">
      <c r="A21" s="149" t="s">
        <v>39</v>
      </c>
      <c r="B21" s="126" t="s">
        <v>40</v>
      </c>
      <c r="C21" s="126" t="s">
        <v>41</v>
      </c>
      <c r="D21" s="126" t="s">
        <v>42</v>
      </c>
      <c r="E21" s="158">
        <f>'Proposed Savings'!E9</f>
        <v>0.40163305021874984</v>
      </c>
    </row>
    <row r="22" spans="1:5" ht="25.5" customHeight="1">
      <c r="A22" s="149" t="s">
        <v>43</v>
      </c>
      <c r="B22" s="150" t="s">
        <v>44</v>
      </c>
      <c r="C22" s="126" t="s">
        <v>45</v>
      </c>
      <c r="D22" s="150" t="s">
        <v>55</v>
      </c>
      <c r="E22" s="158">
        <f>'Proposed Savings'!E10</f>
        <v>0.26548249516874994</v>
      </c>
    </row>
    <row r="23" spans="1:5" ht="12.75">
      <c r="A23" s="149" t="s">
        <v>46</v>
      </c>
      <c r="B23" s="126" t="s">
        <v>47</v>
      </c>
      <c r="C23" s="126" t="s">
        <v>48</v>
      </c>
      <c r="D23" s="126" t="s">
        <v>56</v>
      </c>
      <c r="E23" s="158">
        <f>'Proposed Savings'!E11</f>
        <v>0.10040826255468746</v>
      </c>
    </row>
    <row r="24" spans="1:5" ht="12.75">
      <c r="A24" s="149" t="s">
        <v>49</v>
      </c>
      <c r="B24" s="126" t="s">
        <v>50</v>
      </c>
      <c r="C24" s="126" t="s">
        <v>51</v>
      </c>
      <c r="D24" s="126" t="s">
        <v>57</v>
      </c>
      <c r="E24" s="158"/>
    </row>
    <row r="25" spans="1:5" ht="12.75">
      <c r="A25" s="149" t="s">
        <v>52</v>
      </c>
      <c r="B25" s="126" t="s">
        <v>53</v>
      </c>
      <c r="C25" s="126" t="s">
        <v>54</v>
      </c>
      <c r="D25" s="126" t="s">
        <v>640</v>
      </c>
      <c r="E25" s="158">
        <f>'Proposed Savings'!E15</f>
        <v>0.05737615003124999</v>
      </c>
    </row>
    <row r="26" spans="1:5" ht="12.75">
      <c r="A26" s="148" t="s">
        <v>22</v>
      </c>
      <c r="B26" s="124"/>
      <c r="C26" s="155"/>
      <c r="D26" s="156"/>
      <c r="E26" s="157">
        <f>SUM(E21:E25)</f>
        <v>0.8248999579734372</v>
      </c>
    </row>
  </sheetData>
  <mergeCells count="5">
    <mergeCell ref="B26:D26"/>
    <mergeCell ref="B9:D9"/>
    <mergeCell ref="B8:D8"/>
    <mergeCell ref="B7:D7"/>
    <mergeCell ref="B18:D18"/>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N18"/>
  <sheetViews>
    <sheetView workbookViewId="0" topLeftCell="A1">
      <selection activeCell="A23" sqref="A23"/>
    </sheetView>
  </sheetViews>
  <sheetFormatPr defaultColWidth="9.140625" defaultRowHeight="12.75"/>
  <cols>
    <col min="1" max="1" width="23.8515625" style="0" customWidth="1"/>
    <col min="2" max="3" width="9.7109375" style="0" customWidth="1"/>
    <col min="4" max="4" width="7.8515625" style="0" customWidth="1"/>
    <col min="5" max="13" width="7.7109375" style="0" customWidth="1"/>
  </cols>
  <sheetData>
    <row r="1" spans="5:13" ht="12.75">
      <c r="E1" s="132" t="s">
        <v>847</v>
      </c>
      <c r="F1" s="132"/>
      <c r="G1" s="132" t="s">
        <v>848</v>
      </c>
      <c r="H1" s="132"/>
      <c r="I1" s="132"/>
      <c r="J1" s="132"/>
      <c r="K1" s="132"/>
      <c r="L1" s="132"/>
      <c r="M1" s="132"/>
    </row>
    <row r="2" spans="1:14" ht="12.75">
      <c r="A2" s="64" t="s">
        <v>839</v>
      </c>
      <c r="B2" s="64" t="s">
        <v>833</v>
      </c>
      <c r="C2" s="64" t="s">
        <v>834</v>
      </c>
      <c r="D2" s="64" t="s">
        <v>835</v>
      </c>
      <c r="E2" s="64" t="s">
        <v>821</v>
      </c>
      <c r="F2" s="64" t="s">
        <v>822</v>
      </c>
      <c r="G2" s="64" t="s">
        <v>823</v>
      </c>
      <c r="H2" s="64" t="s">
        <v>824</v>
      </c>
      <c r="I2" s="64" t="s">
        <v>825</v>
      </c>
      <c r="J2" s="64" t="s">
        <v>826</v>
      </c>
      <c r="K2" s="64" t="s">
        <v>827</v>
      </c>
      <c r="L2" s="64" t="s">
        <v>836</v>
      </c>
      <c r="M2" s="64" t="s">
        <v>837</v>
      </c>
      <c r="N2" s="64" t="s">
        <v>445</v>
      </c>
    </row>
    <row r="3" spans="1:14" ht="12.75">
      <c r="A3" t="s">
        <v>820</v>
      </c>
      <c r="B3" s="105">
        <v>39356</v>
      </c>
      <c r="C3" s="105">
        <v>39568</v>
      </c>
      <c r="D3" s="20">
        <v>19</v>
      </c>
      <c r="E3" s="20">
        <f>'Cost Est (then-yr)'!E3</f>
        <v>738.85</v>
      </c>
      <c r="F3" s="20">
        <f>'Cost Est (then-yr)'!F3</f>
        <v>494.98</v>
      </c>
      <c r="G3" s="20"/>
      <c r="H3" s="20"/>
      <c r="I3" s="20"/>
      <c r="J3" s="20"/>
      <c r="K3" s="20"/>
      <c r="L3" s="20"/>
      <c r="M3" s="20"/>
      <c r="N3" s="20">
        <f>SUM(E3:M3)</f>
        <v>1233.83</v>
      </c>
    </row>
    <row r="4" spans="1:14" ht="12.75">
      <c r="A4" t="s">
        <v>828</v>
      </c>
      <c r="B4" s="105">
        <v>39569</v>
      </c>
      <c r="C4" s="105">
        <v>40298</v>
      </c>
      <c r="D4" s="20">
        <v>24</v>
      </c>
      <c r="E4" s="20"/>
      <c r="F4" s="20">
        <f>'Cost Est (then-yr)'!F4</f>
        <v>214.171</v>
      </c>
      <c r="G4" s="20">
        <f>'Cost Est (then-yr)'!G4</f>
        <v>1800</v>
      </c>
      <c r="H4" s="20">
        <f>'Cost Est (then-yr)'!H4</f>
        <v>1634.4115193020564</v>
      </c>
      <c r="I4" s="20"/>
      <c r="J4" s="20"/>
      <c r="K4" s="20"/>
      <c r="L4" s="20"/>
      <c r="M4" s="20"/>
      <c r="N4" s="20">
        <f>SUM(E4:M4)</f>
        <v>3648.5825193020564</v>
      </c>
    </row>
    <row r="5" spans="1:14" ht="12.75">
      <c r="A5" t="s">
        <v>829</v>
      </c>
      <c r="B5" s="105">
        <v>40299</v>
      </c>
      <c r="C5" s="105">
        <v>41029</v>
      </c>
      <c r="D5" s="20">
        <v>24</v>
      </c>
      <c r="E5" s="20"/>
      <c r="F5" s="20"/>
      <c r="G5" s="20"/>
      <c r="H5" s="20">
        <f>'Cost Est (then-yr)'!H5-('Proposed Savings'!E17)*1000</f>
        <v>1357.04617</v>
      </c>
      <c r="I5" s="20">
        <f>'Cost Est (then-yr)'!I5-('Proposed Savings'!E10)*1000</f>
        <v>5234.51750483125</v>
      </c>
      <c r="J5" s="20">
        <f>'Cost Est (then-yr)'!J5</f>
        <v>3036.103039653361</v>
      </c>
      <c r="K5" s="20"/>
      <c r="L5" s="20"/>
      <c r="M5" s="20"/>
      <c r="N5" s="20">
        <f aca="true" t="shared" si="0" ref="N5:N11">SUM(E5:M5)</f>
        <v>9627.66671448461</v>
      </c>
    </row>
    <row r="6" spans="1:14" ht="12.75">
      <c r="A6" t="s">
        <v>830</v>
      </c>
      <c r="B6" s="105">
        <v>41030</v>
      </c>
      <c r="C6" s="105">
        <v>41759</v>
      </c>
      <c r="D6" s="20">
        <v>24</v>
      </c>
      <c r="E6" s="20"/>
      <c r="F6" s="20"/>
      <c r="G6" s="20"/>
      <c r="H6" s="20"/>
      <c r="I6" s="20"/>
      <c r="J6" s="20">
        <f>'Cost Est (then-yr)'!J6-('Proposed Savings'!E4+'Proposed Savings'!E5+'Proposed Savings'!E6+'Proposed Savings'!E8+'Proposed Savings'!E12+'Proposed Savings'!E9+'Proposed Savings'!E11+'Proposed Savings'!E18+'Proposed Savings'!E19+'Proposed Savings'!E7+'Proposed Savings'!E14+'Proposed Savings'!E20+'Proposed Savings'!E15+'Proposed Savings'!E16)*1000+2600/E18</f>
        <v>6233.4747826099465</v>
      </c>
      <c r="K6" s="20">
        <f>'Cost Est (then-yr)'!K6-2600</f>
        <v>11312.504236158473</v>
      </c>
      <c r="L6" s="20">
        <f>'Cost Est (then-yr)'!L6</f>
        <v>9599.627922949345</v>
      </c>
      <c r="M6" s="20"/>
      <c r="N6" s="20">
        <f t="shared" si="0"/>
        <v>27145.606941717764</v>
      </c>
    </row>
    <row r="7" spans="1:14" ht="12.75">
      <c r="A7" t="s">
        <v>831</v>
      </c>
      <c r="B7" s="105">
        <v>41760</v>
      </c>
      <c r="C7" s="105">
        <v>42063</v>
      </c>
      <c r="D7" s="20">
        <v>10</v>
      </c>
      <c r="E7" s="20"/>
      <c r="F7" s="20"/>
      <c r="G7" s="20"/>
      <c r="H7" s="20"/>
      <c r="I7" s="20"/>
      <c r="J7" s="20"/>
      <c r="K7" s="20"/>
      <c r="L7" s="20">
        <f>'Cost Est (then-yr)'!L7</f>
        <v>2222.88143126224</v>
      </c>
      <c r="M7" s="20">
        <f>'Cost Est (then-yr)'!M7</f>
        <v>2300.682281356418</v>
      </c>
      <c r="N7" s="20">
        <f t="shared" si="0"/>
        <v>4523.5637126186575</v>
      </c>
    </row>
    <row r="8" spans="1:14" ht="12.75">
      <c r="A8" t="s">
        <v>880</v>
      </c>
      <c r="B8" s="105"/>
      <c r="C8" s="105"/>
      <c r="D8" s="20"/>
      <c r="E8" s="20"/>
      <c r="F8" s="20"/>
      <c r="G8" s="20"/>
      <c r="H8" s="20"/>
      <c r="I8" s="20"/>
      <c r="J8" s="20"/>
      <c r="K8" s="20">
        <f>'Cost Est (then-yr)'!K8</f>
        <v>300</v>
      </c>
      <c r="L8" s="20">
        <f>'Cost Est (then-yr)'!L8</f>
        <v>400</v>
      </c>
      <c r="M8" s="20">
        <f>'Cost Est (then-yr)'!M8</f>
        <v>444.6976055731044</v>
      </c>
      <c r="N8" s="20">
        <f t="shared" si="0"/>
        <v>1144.6976055731043</v>
      </c>
    </row>
    <row r="9" spans="1:14" ht="12.75">
      <c r="A9" s="106" t="s">
        <v>843</v>
      </c>
      <c r="B9" s="105"/>
      <c r="C9" s="105"/>
      <c r="D9" s="20">
        <f>SUM(D3:D7)</f>
        <v>101</v>
      </c>
      <c r="E9" s="20">
        <f>SUM(E3:E8)</f>
        <v>738.85</v>
      </c>
      <c r="F9" s="20">
        <f aca="true" t="shared" si="1" ref="F9:M9">SUM(F3:F8)</f>
        <v>709.1510000000001</v>
      </c>
      <c r="G9" s="20">
        <f t="shared" si="1"/>
        <v>1800</v>
      </c>
      <c r="H9" s="20">
        <f t="shared" si="1"/>
        <v>2991.4576893020567</v>
      </c>
      <c r="I9" s="20">
        <f t="shared" si="1"/>
        <v>5234.51750483125</v>
      </c>
      <c r="J9" s="20">
        <f t="shared" si="1"/>
        <v>9269.577822263307</v>
      </c>
      <c r="K9" s="20">
        <f t="shared" si="1"/>
        <v>11612.504236158473</v>
      </c>
      <c r="L9" s="20">
        <f t="shared" si="1"/>
        <v>12222.509354211585</v>
      </c>
      <c r="M9" s="20">
        <f t="shared" si="1"/>
        <v>2745.3798869295224</v>
      </c>
      <c r="N9" s="108">
        <f>SUM(N3:N8)</f>
        <v>47323.94749369619</v>
      </c>
    </row>
    <row r="10" spans="1:14" ht="12.75">
      <c r="A10" s="107" t="s">
        <v>840</v>
      </c>
      <c r="B10" s="105"/>
      <c r="C10" s="105"/>
      <c r="D10" s="20"/>
      <c r="E10" s="20"/>
      <c r="F10" s="20"/>
      <c r="G10" s="20">
        <f>'Cost Est (then-yr)'!G10</f>
        <v>200</v>
      </c>
      <c r="H10" s="20">
        <f>'Cost Est (then-yr)'!H10</f>
        <v>482.3164467955799</v>
      </c>
      <c r="I10" s="20">
        <f>'Cost Est (then-yr)'!I10</f>
        <v>907.0773086834253</v>
      </c>
      <c r="J10" s="20">
        <f>'Cost Est (then-yr)'!J10</f>
        <v>1044.4402298739162</v>
      </c>
      <c r="K10" s="20">
        <f>'Cost Est (then-yr)'!K10</f>
        <v>977.9292997746597</v>
      </c>
      <c r="L10" s="20">
        <f>'Cost Est (then-yr)'!L10</f>
        <v>156.89266270785623</v>
      </c>
      <c r="M10" s="20">
        <f>'Cost Est (then-yr)'!M10</f>
        <v>0</v>
      </c>
      <c r="N10" s="20">
        <f t="shared" si="0"/>
        <v>3768.6559478354375</v>
      </c>
    </row>
    <row r="11" spans="1:14" ht="12.75">
      <c r="A11" s="107" t="s">
        <v>841</v>
      </c>
      <c r="B11" s="105"/>
      <c r="C11" s="105"/>
      <c r="D11" s="20"/>
      <c r="E11" s="20"/>
      <c r="F11" s="20"/>
      <c r="G11" s="20">
        <v>50</v>
      </c>
      <c r="H11" s="20">
        <f>(189.7-G11)+100</f>
        <v>239.7</v>
      </c>
      <c r="I11" s="20">
        <f>(206.22-100)+500</f>
        <v>606.22</v>
      </c>
      <c r="J11" s="20">
        <v>1300</v>
      </c>
      <c r="K11" s="20">
        <v>1400</v>
      </c>
      <c r="L11" s="20">
        <f>5000-SUM(G11:K11)</f>
        <v>1404.08</v>
      </c>
      <c r="M11" s="20"/>
      <c r="N11" s="20">
        <f t="shared" si="0"/>
        <v>5000</v>
      </c>
    </row>
    <row r="12" spans="1:14" ht="12.75">
      <c r="A12" s="107" t="s">
        <v>842</v>
      </c>
      <c r="B12" s="105"/>
      <c r="C12" s="105"/>
      <c r="D12" s="20"/>
      <c r="E12" s="20"/>
      <c r="F12" s="20"/>
      <c r="G12" s="20"/>
      <c r="H12" s="20"/>
      <c r="I12" s="20">
        <f>'Vis Imager ROM'!D25/1000*E18^2-'Vis Imager ROM'!D25/1000*E18^2+100</f>
        <v>100</v>
      </c>
      <c r="J12" s="20">
        <f>'Vis Imager ROM'!F25/1000*E18^2-'Vis Imager ROM'!F25/1000*E18^2+200</f>
        <v>200</v>
      </c>
      <c r="K12" s="20">
        <f>'Vis Imager ROM'!H25/1000*E18^2-'Vis Imager ROM'!H25/1000*E18^2+100</f>
        <v>100</v>
      </c>
      <c r="L12" s="20">
        <f>'Vis Imager ROM'!J25/1000*E18^2-'Vis Imager ROM'!J25/1000*E18^2</f>
        <v>0</v>
      </c>
      <c r="M12" s="20">
        <f>'Vis Imager ROM'!L25/1000*E18^2-'Vis Imager ROM'!L25/1000*E18^2</f>
        <v>0</v>
      </c>
      <c r="N12" s="20">
        <f>SUM(E12:M12)</f>
        <v>400</v>
      </c>
    </row>
    <row r="13" spans="1:14" ht="12.75">
      <c r="A13" s="107" t="s">
        <v>846</v>
      </c>
      <c r="E13" s="20"/>
      <c r="F13" s="20"/>
      <c r="G13" s="20"/>
      <c r="H13" s="20">
        <v>50</v>
      </c>
      <c r="I13" s="20">
        <v>300</v>
      </c>
      <c r="J13" s="20">
        <v>600</v>
      </c>
      <c r="K13" s="20">
        <f>1000-300</f>
        <v>700</v>
      </c>
      <c r="L13" s="20">
        <f>SUM(N10:N12)*0.2-SUM(H13:K13)</f>
        <v>183.73118956708754</v>
      </c>
      <c r="M13" s="20"/>
      <c r="N13" s="20">
        <f>SUM(E13:M13)</f>
        <v>1833.7311895670875</v>
      </c>
    </row>
    <row r="14" spans="1:14" ht="12.75">
      <c r="A14" s="106" t="s">
        <v>844</v>
      </c>
      <c r="B14" s="105"/>
      <c r="C14" s="105"/>
      <c r="D14" s="20"/>
      <c r="E14" s="20"/>
      <c r="F14" s="20"/>
      <c r="G14" s="20">
        <f aca="true" t="shared" si="2" ref="G14:N14">SUM(G10:G13)</f>
        <v>250</v>
      </c>
      <c r="H14" s="20">
        <f t="shared" si="2"/>
        <v>772.0164467955799</v>
      </c>
      <c r="I14" s="20">
        <f t="shared" si="2"/>
        <v>1913.2973086834254</v>
      </c>
      <c r="J14" s="20">
        <f t="shared" si="2"/>
        <v>3144.440229873916</v>
      </c>
      <c r="K14" s="20">
        <f t="shared" si="2"/>
        <v>3177.9292997746597</v>
      </c>
      <c r="L14" s="20">
        <f t="shared" si="2"/>
        <v>1744.7038522749438</v>
      </c>
      <c r="M14" s="20">
        <f t="shared" si="2"/>
        <v>0</v>
      </c>
      <c r="N14" s="108">
        <f t="shared" si="2"/>
        <v>11002.387137402526</v>
      </c>
    </row>
    <row r="15" spans="1:14" ht="12.75">
      <c r="A15" s="106" t="s">
        <v>845</v>
      </c>
      <c r="B15" s="105"/>
      <c r="C15" s="105"/>
      <c r="D15" s="20"/>
      <c r="E15" s="20">
        <f>E9+E14</f>
        <v>738.85</v>
      </c>
      <c r="F15" s="20">
        <f aca="true" t="shared" si="3" ref="F15:M15">F9+F14</f>
        <v>709.1510000000001</v>
      </c>
      <c r="G15" s="20">
        <f t="shared" si="3"/>
        <v>2050</v>
      </c>
      <c r="H15" s="20">
        <f t="shared" si="3"/>
        <v>3763.474136097637</v>
      </c>
      <c r="I15" s="20">
        <f t="shared" si="3"/>
        <v>7147.814813514676</v>
      </c>
      <c r="J15" s="20">
        <f t="shared" si="3"/>
        <v>12414.018052137224</v>
      </c>
      <c r="K15" s="20">
        <f t="shared" si="3"/>
        <v>14790.433535933133</v>
      </c>
      <c r="L15" s="20">
        <f t="shared" si="3"/>
        <v>13967.213206486529</v>
      </c>
      <c r="M15" s="20">
        <f t="shared" si="3"/>
        <v>2745.3798869295224</v>
      </c>
      <c r="N15" s="108">
        <f>N9+N14</f>
        <v>58326.33463109872</v>
      </c>
    </row>
    <row r="16" spans="1:14" ht="12.75">
      <c r="A16" s="106"/>
      <c r="B16" s="105"/>
      <c r="C16" s="105"/>
      <c r="D16" s="20"/>
      <c r="E16" s="20"/>
      <c r="F16" s="20"/>
      <c r="G16" s="20"/>
      <c r="H16" s="20"/>
      <c r="I16" s="20"/>
      <c r="J16" s="20"/>
      <c r="K16" s="20"/>
      <c r="L16" s="20"/>
      <c r="M16" s="20"/>
      <c r="N16" s="108"/>
    </row>
    <row r="17" spans="1:13" ht="12.75">
      <c r="A17" t="s">
        <v>838</v>
      </c>
      <c r="G17">
        <v>1</v>
      </c>
      <c r="H17">
        <v>2</v>
      </c>
      <c r="I17">
        <v>3</v>
      </c>
      <c r="J17">
        <v>4</v>
      </c>
      <c r="K17">
        <v>5</v>
      </c>
      <c r="L17">
        <v>6</v>
      </c>
      <c r="M17">
        <v>7</v>
      </c>
    </row>
    <row r="18" spans="1:5" ht="12.75">
      <c r="A18" t="s">
        <v>832</v>
      </c>
      <c r="E18">
        <v>1.035</v>
      </c>
    </row>
  </sheetData>
  <mergeCells count="2">
    <mergeCell ref="E1:F1"/>
    <mergeCell ref="G1:M1"/>
  </mergeCells>
  <printOptions gridLines="1"/>
  <pageMargins left="0.51" right="0.17" top="0.55" bottom="0.68" header="0.42" footer="0.38"/>
  <pageSetup horizontalDpi="600" verticalDpi="600" orientation="landscape" r:id="rId4"/>
  <headerFooter alignWithMargins="0">
    <oddFooter>&amp;L&amp;F&amp;R&amp;A</oddFooter>
  </headerFooter>
  <drawing r:id="rId3"/>
  <legacyDrawing r:id="rId2"/>
</worksheet>
</file>

<file path=xl/worksheets/sheet6.xml><?xml version="1.0" encoding="utf-8"?>
<worksheet xmlns="http://schemas.openxmlformats.org/spreadsheetml/2006/main" xmlns:r="http://schemas.openxmlformats.org/officeDocument/2006/relationships">
  <dimension ref="A1:BD108"/>
  <sheetViews>
    <sheetView workbookViewId="0" topLeftCell="AL104">
      <selection activeCell="AS108" sqref="AS108"/>
    </sheetView>
  </sheetViews>
  <sheetFormatPr defaultColWidth="9.140625" defaultRowHeight="12.75"/>
  <cols>
    <col min="1" max="1" width="5.8515625" style="0" customWidth="1"/>
    <col min="2" max="2" width="26.57421875" style="0" customWidth="1"/>
    <col min="3" max="3" width="7.421875" style="0" customWidth="1"/>
    <col min="4" max="4" width="5.7109375" style="0" customWidth="1"/>
    <col min="5" max="5" width="6.140625" style="0" customWidth="1"/>
    <col min="6" max="6" width="6.7109375" style="0" customWidth="1"/>
    <col min="8" max="8" width="7.00390625" style="0" customWidth="1"/>
    <col min="9" max="9" width="7.57421875" style="0" customWidth="1"/>
    <col min="10" max="10" width="7.28125" style="0" customWidth="1"/>
    <col min="11" max="11" width="6.57421875" style="0" customWidth="1"/>
    <col min="12" max="12" width="6.421875" style="0" customWidth="1"/>
    <col min="13" max="13" width="4.7109375" style="0" customWidth="1"/>
    <col min="14" max="14" width="7.421875" style="0" customWidth="1"/>
    <col min="15" max="15" width="6.140625" style="0" customWidth="1"/>
    <col min="16" max="16" width="6.421875" style="0" customWidth="1"/>
    <col min="17" max="17" width="7.140625" style="0" customWidth="1"/>
    <col min="18" max="18" width="8.8515625" style="0" customWidth="1"/>
    <col min="19" max="19" width="7.00390625" style="0" customWidth="1"/>
    <col min="20" max="20" width="7.8515625" style="0" customWidth="1"/>
    <col min="21" max="21" width="7.421875" style="0" customWidth="1"/>
    <col min="22" max="22" width="7.140625" style="0" customWidth="1"/>
    <col min="23" max="23" width="6.421875" style="0" customWidth="1"/>
    <col min="24" max="24" width="4.7109375" style="0" customWidth="1"/>
    <col min="34" max="34" width="6.421875" style="0" customWidth="1"/>
    <col min="35" max="35" width="4.7109375" style="0" customWidth="1"/>
    <col min="45" max="45" width="6.421875" style="0" customWidth="1"/>
    <col min="46" max="46" width="4.7109375" style="0" customWidth="1"/>
  </cols>
  <sheetData>
    <row r="1" spans="2:56" ht="12.75">
      <c r="B1" s="104"/>
      <c r="C1" s="145" t="s">
        <v>816</v>
      </c>
      <c r="D1" s="145"/>
      <c r="E1" s="145"/>
      <c r="F1" s="145"/>
      <c r="G1" s="145"/>
      <c r="H1" s="145"/>
      <c r="I1" s="145"/>
      <c r="J1" s="145"/>
      <c r="K1" s="145"/>
      <c r="L1" s="145"/>
      <c r="N1" s="145" t="s">
        <v>815</v>
      </c>
      <c r="O1" s="145"/>
      <c r="P1" s="145"/>
      <c r="Q1" s="145"/>
      <c r="R1" s="145"/>
      <c r="S1" s="145"/>
      <c r="T1" s="145"/>
      <c r="U1" s="145"/>
      <c r="V1" s="145"/>
      <c r="W1" s="145"/>
      <c r="Y1" s="145" t="s">
        <v>817</v>
      </c>
      <c r="Z1" s="145"/>
      <c r="AA1" s="145"/>
      <c r="AB1" s="145"/>
      <c r="AC1" s="145"/>
      <c r="AD1" s="145"/>
      <c r="AE1" s="145"/>
      <c r="AF1" s="145"/>
      <c r="AG1" s="145"/>
      <c r="AH1" s="145"/>
      <c r="AJ1" s="145" t="s">
        <v>818</v>
      </c>
      <c r="AK1" s="145"/>
      <c r="AL1" s="145"/>
      <c r="AM1" s="145"/>
      <c r="AN1" s="145"/>
      <c r="AO1" s="145"/>
      <c r="AP1" s="145"/>
      <c r="AQ1" s="145"/>
      <c r="AR1" s="145"/>
      <c r="AS1" s="145"/>
      <c r="AU1" s="145" t="s">
        <v>819</v>
      </c>
      <c r="AV1" s="145"/>
      <c r="AW1" s="145"/>
      <c r="AX1" s="145"/>
      <c r="AY1" s="145"/>
      <c r="AZ1" s="145"/>
      <c r="BA1" s="145"/>
      <c r="BB1" s="145"/>
      <c r="BC1" s="145"/>
      <c r="BD1" s="145"/>
    </row>
    <row r="2" spans="1:55" ht="12.75" customHeight="1">
      <c r="A2" s="3"/>
      <c r="B2" s="4"/>
      <c r="C2" s="146" t="s">
        <v>449</v>
      </c>
      <c r="D2" s="146"/>
      <c r="E2" s="146" t="s">
        <v>444</v>
      </c>
      <c r="F2" s="146" t="s">
        <v>450</v>
      </c>
      <c r="G2" s="146"/>
      <c r="H2" s="146"/>
      <c r="I2" s="146"/>
      <c r="J2" s="146"/>
      <c r="K2" s="147" t="s">
        <v>451</v>
      </c>
      <c r="N2" s="146" t="s">
        <v>449</v>
      </c>
      <c r="O2" s="146"/>
      <c r="P2" s="146" t="s">
        <v>444</v>
      </c>
      <c r="Q2" s="146" t="s">
        <v>450</v>
      </c>
      <c r="R2" s="146"/>
      <c r="S2" s="146"/>
      <c r="T2" s="146"/>
      <c r="U2" s="146"/>
      <c r="V2" s="147" t="s">
        <v>813</v>
      </c>
      <c r="Y2" s="146" t="s">
        <v>449</v>
      </c>
      <c r="Z2" s="146"/>
      <c r="AA2" s="146" t="s">
        <v>444</v>
      </c>
      <c r="AB2" s="146" t="s">
        <v>450</v>
      </c>
      <c r="AC2" s="146"/>
      <c r="AD2" s="146"/>
      <c r="AE2" s="146"/>
      <c r="AF2" s="146"/>
      <c r="AG2" s="147" t="s">
        <v>813</v>
      </c>
      <c r="AJ2" s="146" t="s">
        <v>449</v>
      </c>
      <c r="AK2" s="146"/>
      <c r="AL2" s="146" t="s">
        <v>444</v>
      </c>
      <c r="AM2" s="146" t="s">
        <v>450</v>
      </c>
      <c r="AN2" s="146"/>
      <c r="AO2" s="146"/>
      <c r="AP2" s="146"/>
      <c r="AQ2" s="146"/>
      <c r="AR2" s="147" t="s">
        <v>813</v>
      </c>
      <c r="AU2" s="146" t="s">
        <v>449</v>
      </c>
      <c r="AV2" s="146"/>
      <c r="AW2" s="146" t="s">
        <v>444</v>
      </c>
      <c r="AX2" s="146" t="s">
        <v>450</v>
      </c>
      <c r="AY2" s="146"/>
      <c r="AZ2" s="146"/>
      <c r="BA2" s="146"/>
      <c r="BB2" s="146"/>
      <c r="BC2" s="147" t="s">
        <v>813</v>
      </c>
    </row>
    <row r="3" spans="1:55" ht="12.75">
      <c r="A3" s="6"/>
      <c r="B3" s="7"/>
      <c r="C3" s="5" t="s">
        <v>452</v>
      </c>
      <c r="D3" s="5" t="s">
        <v>453</v>
      </c>
      <c r="E3" s="146"/>
      <c r="F3" s="5" t="s">
        <v>449</v>
      </c>
      <c r="G3" s="5" t="s">
        <v>446</v>
      </c>
      <c r="H3" s="5" t="s">
        <v>454</v>
      </c>
      <c r="I3" s="5" t="s">
        <v>447</v>
      </c>
      <c r="J3" s="5" t="s">
        <v>445</v>
      </c>
      <c r="K3" s="147"/>
      <c r="N3" s="5" t="s">
        <v>452</v>
      </c>
      <c r="O3" s="5" t="s">
        <v>453</v>
      </c>
      <c r="P3" s="146"/>
      <c r="Q3" s="5" t="s">
        <v>449</v>
      </c>
      <c r="R3" s="5" t="s">
        <v>446</v>
      </c>
      <c r="S3" s="5" t="s">
        <v>454</v>
      </c>
      <c r="T3" s="5" t="s">
        <v>447</v>
      </c>
      <c r="U3" s="5" t="s">
        <v>445</v>
      </c>
      <c r="V3" s="147"/>
      <c r="Y3" s="5" t="s">
        <v>452</v>
      </c>
      <c r="Z3" s="5" t="s">
        <v>453</v>
      </c>
      <c r="AA3" s="146"/>
      <c r="AB3" s="5" t="s">
        <v>449</v>
      </c>
      <c r="AC3" s="5" t="s">
        <v>446</v>
      </c>
      <c r="AD3" s="5" t="s">
        <v>454</v>
      </c>
      <c r="AE3" s="5" t="s">
        <v>447</v>
      </c>
      <c r="AF3" s="5" t="s">
        <v>445</v>
      </c>
      <c r="AG3" s="147"/>
      <c r="AJ3" s="5" t="s">
        <v>452</v>
      </c>
      <c r="AK3" s="5" t="s">
        <v>453</v>
      </c>
      <c r="AL3" s="146"/>
      <c r="AM3" s="5" t="s">
        <v>449</v>
      </c>
      <c r="AN3" s="5" t="s">
        <v>446</v>
      </c>
      <c r="AO3" s="5" t="s">
        <v>454</v>
      </c>
      <c r="AP3" s="5" t="s">
        <v>447</v>
      </c>
      <c r="AQ3" s="5" t="s">
        <v>445</v>
      </c>
      <c r="AR3" s="147"/>
      <c r="AU3" s="5" t="s">
        <v>452</v>
      </c>
      <c r="AV3" s="5" t="s">
        <v>453</v>
      </c>
      <c r="AW3" s="146"/>
      <c r="AX3" s="5" t="s">
        <v>449</v>
      </c>
      <c r="AY3" s="5" t="s">
        <v>446</v>
      </c>
      <c r="AZ3" s="5" t="s">
        <v>454</v>
      </c>
      <c r="BA3" s="5" t="s">
        <v>447</v>
      </c>
      <c r="BB3" s="5" t="s">
        <v>445</v>
      </c>
      <c r="BC3" s="147"/>
    </row>
    <row r="4" spans="1:56" ht="12.75">
      <c r="A4" s="8">
        <v>2</v>
      </c>
      <c r="B4" s="9" t="s">
        <v>448</v>
      </c>
      <c r="C4" s="10"/>
      <c r="D4" s="10"/>
      <c r="E4" s="10"/>
      <c r="F4" s="10"/>
      <c r="G4" s="10"/>
      <c r="H4" s="10"/>
      <c r="I4" s="10"/>
      <c r="J4" s="10"/>
      <c r="K4" s="11">
        <v>0.11068478200147633</v>
      </c>
      <c r="L4" s="12">
        <v>4673.861396151357</v>
      </c>
      <c r="N4" s="10"/>
      <c r="O4" s="10"/>
      <c r="P4" s="10"/>
      <c r="Q4" s="10"/>
      <c r="R4" s="10"/>
      <c r="S4" s="10"/>
      <c r="T4" s="10"/>
      <c r="U4" s="10"/>
      <c r="V4" s="10"/>
      <c r="W4" s="12">
        <v>925.6431048846325</v>
      </c>
      <c r="Y4" s="10"/>
      <c r="Z4" s="10"/>
      <c r="AA4" s="10"/>
      <c r="AB4" s="10"/>
      <c r="AC4" s="10"/>
      <c r="AD4" s="10"/>
      <c r="AE4" s="10"/>
      <c r="AF4" s="10"/>
      <c r="AG4" s="10"/>
      <c r="AH4" s="12">
        <v>1310.7493982760607</v>
      </c>
      <c r="AJ4" s="10"/>
      <c r="AK4" s="10"/>
      <c r="AL4" s="10"/>
      <c r="AM4" s="10"/>
      <c r="AN4" s="10"/>
      <c r="AO4" s="10"/>
      <c r="AP4" s="10"/>
      <c r="AQ4" s="10"/>
      <c r="AR4" s="10"/>
      <c r="AS4" s="12">
        <v>1738.9442839127128</v>
      </c>
      <c r="AU4" s="10"/>
      <c r="AV4" s="10"/>
      <c r="AW4" s="10"/>
      <c r="AX4" s="10"/>
      <c r="AY4" s="10"/>
      <c r="AZ4" s="10"/>
      <c r="BA4" s="10"/>
      <c r="BB4" s="10"/>
      <c r="BC4" s="10"/>
      <c r="BD4" s="12">
        <v>698.5246090779513</v>
      </c>
    </row>
    <row r="5" spans="1:56" ht="12.75">
      <c r="A5" s="13">
        <v>2.1</v>
      </c>
      <c r="B5" s="13" t="s">
        <v>455</v>
      </c>
      <c r="C5" s="14">
        <v>4390</v>
      </c>
      <c r="D5" s="15">
        <v>2.438888888888889</v>
      </c>
      <c r="E5" s="14">
        <v>5</v>
      </c>
      <c r="F5" s="14">
        <v>420.61103888888897</v>
      </c>
      <c r="G5" s="14">
        <v>0</v>
      </c>
      <c r="H5" s="14">
        <v>18.858675537109374</v>
      </c>
      <c r="I5" s="14">
        <v>21.97348604873037</v>
      </c>
      <c r="J5" s="14">
        <v>461.4432004747287</v>
      </c>
      <c r="K5" s="16"/>
      <c r="L5" s="17"/>
      <c r="N5" s="14">
        <v>1570</v>
      </c>
      <c r="O5" s="15">
        <v>0.8722222222222222</v>
      </c>
      <c r="P5" s="14">
        <v>0</v>
      </c>
      <c r="Q5" s="14">
        <v>157.8079166666667</v>
      </c>
      <c r="R5" s="14">
        <v>0</v>
      </c>
      <c r="S5" s="14">
        <v>0</v>
      </c>
      <c r="T5" s="14">
        <v>7.890395950909395</v>
      </c>
      <c r="U5" s="14">
        <v>165.6983126175761</v>
      </c>
      <c r="V5" s="16">
        <v>0.3590871258848481</v>
      </c>
      <c r="W5" s="17"/>
      <c r="Y5" s="14">
        <v>1900</v>
      </c>
      <c r="Z5" s="15">
        <v>1.0555555555555556</v>
      </c>
      <c r="AA5" s="14">
        <v>1</v>
      </c>
      <c r="AB5" s="14">
        <v>186.21311111111112</v>
      </c>
      <c r="AC5" s="14">
        <v>0</v>
      </c>
      <c r="AD5" s="14">
        <v>3.771735107421875</v>
      </c>
      <c r="AE5" s="14">
        <v>9.49924245247639</v>
      </c>
      <c r="AF5" s="14">
        <v>199.48408867100937</v>
      </c>
      <c r="AG5" s="16">
        <v>0.4323047527101535</v>
      </c>
      <c r="AH5" s="17"/>
      <c r="AJ5" s="14">
        <v>760</v>
      </c>
      <c r="AK5" s="15">
        <v>0.4222222222222222</v>
      </c>
      <c r="AL5" s="14">
        <v>4</v>
      </c>
      <c r="AM5" s="14">
        <v>61.7891</v>
      </c>
      <c r="AN5" s="14">
        <v>0</v>
      </c>
      <c r="AO5" s="14">
        <v>15.0869404296875</v>
      </c>
      <c r="AP5" s="14">
        <v>3.8438020787614886</v>
      </c>
      <c r="AQ5" s="14">
        <v>80.71984250844898</v>
      </c>
      <c r="AR5" s="16">
        <v>0.1749290972873912</v>
      </c>
      <c r="AS5" s="17"/>
      <c r="AU5" s="14">
        <v>160</v>
      </c>
      <c r="AV5" s="15">
        <v>0.08888888888888889</v>
      </c>
      <c r="AW5" s="14">
        <v>0</v>
      </c>
      <c r="AX5" s="14">
        <v>14.800911111111112</v>
      </c>
      <c r="AY5" s="14">
        <v>0</v>
      </c>
      <c r="AZ5" s="14">
        <v>0</v>
      </c>
      <c r="BA5" s="14">
        <v>0.7400455665830937</v>
      </c>
      <c r="BB5" s="14">
        <v>15.540956677694206</v>
      </c>
      <c r="BC5" s="16">
        <v>0.03367902411760712</v>
      </c>
      <c r="BD5" s="17"/>
    </row>
    <row r="6" spans="1:56" ht="12.75">
      <c r="A6" s="18">
        <v>2.2</v>
      </c>
      <c r="B6" s="13" t="s">
        <v>456</v>
      </c>
      <c r="C6" s="14">
        <v>8358</v>
      </c>
      <c r="D6" s="15">
        <v>4.6433333333333335</v>
      </c>
      <c r="E6" s="14">
        <v>85</v>
      </c>
      <c r="F6" s="14">
        <v>766.0623833333334</v>
      </c>
      <c r="G6" s="14">
        <v>0</v>
      </c>
      <c r="H6" s="14">
        <v>231.88890234375</v>
      </c>
      <c r="I6" s="14">
        <v>56.835342953310466</v>
      </c>
      <c r="J6" s="14">
        <v>1054.7866286303938</v>
      </c>
      <c r="K6" s="16"/>
      <c r="L6" s="17"/>
      <c r="N6" s="14">
        <v>2170</v>
      </c>
      <c r="O6" s="15">
        <v>1.2055555555555555</v>
      </c>
      <c r="P6" s="14">
        <v>22</v>
      </c>
      <c r="Q6" s="14">
        <v>198.78067777777778</v>
      </c>
      <c r="R6" s="14">
        <v>0</v>
      </c>
      <c r="S6" s="14">
        <v>66.018796875</v>
      </c>
      <c r="T6" s="14">
        <v>13.23997392992987</v>
      </c>
      <c r="U6" s="14">
        <v>278.0394485827077</v>
      </c>
      <c r="V6" s="16">
        <v>0.26359781308920543</v>
      </c>
      <c r="W6" s="17"/>
      <c r="Y6" s="14">
        <v>3300</v>
      </c>
      <c r="Z6" s="15">
        <v>1.8333333333333333</v>
      </c>
      <c r="AA6" s="14">
        <v>37</v>
      </c>
      <c r="AB6" s="14">
        <v>309.266</v>
      </c>
      <c r="AC6" s="14">
        <v>0</v>
      </c>
      <c r="AD6" s="14">
        <v>108.0582109375</v>
      </c>
      <c r="AE6" s="14">
        <v>20.86621085780577</v>
      </c>
      <c r="AF6" s="14">
        <v>438.1904217953058</v>
      </c>
      <c r="AG6" s="16">
        <v>0.4154303912292497</v>
      </c>
      <c r="AH6" s="17"/>
      <c r="AJ6" s="14">
        <v>2414</v>
      </c>
      <c r="AK6" s="15">
        <v>1.3411111111111111</v>
      </c>
      <c r="AL6" s="14">
        <v>26</v>
      </c>
      <c r="AM6" s="14">
        <v>207.27471888888888</v>
      </c>
      <c r="AN6" s="14">
        <v>0</v>
      </c>
      <c r="AO6" s="14">
        <v>57.81189453125</v>
      </c>
      <c r="AP6" s="14">
        <v>21.20692859959931</v>
      </c>
      <c r="AQ6" s="14">
        <v>286.2935420197382</v>
      </c>
      <c r="AR6" s="16">
        <v>0.27142318100057927</v>
      </c>
      <c r="AS6" s="17"/>
      <c r="AU6" s="14">
        <v>474</v>
      </c>
      <c r="AV6" s="15">
        <v>0.2633333333333333</v>
      </c>
      <c r="AW6" s="14">
        <v>0</v>
      </c>
      <c r="AX6" s="14">
        <v>50.74098666666667</v>
      </c>
      <c r="AY6" s="14">
        <v>0</v>
      </c>
      <c r="AZ6" s="14">
        <v>0</v>
      </c>
      <c r="BA6" s="14">
        <v>1.522229565975517</v>
      </c>
      <c r="BB6" s="14">
        <v>52.263216232642186</v>
      </c>
      <c r="BC6" s="16">
        <v>0.04954861468096564</v>
      </c>
      <c r="BD6" s="17"/>
    </row>
    <row r="7" spans="1:56" ht="12.75">
      <c r="A7" s="13">
        <v>2.3</v>
      </c>
      <c r="B7" s="13" t="s">
        <v>457</v>
      </c>
      <c r="C7" s="14">
        <v>5412.200012207031</v>
      </c>
      <c r="D7" s="15">
        <v>3.006777784559462</v>
      </c>
      <c r="E7" s="14">
        <v>49</v>
      </c>
      <c r="F7" s="14">
        <v>535.4450810787625</v>
      </c>
      <c r="G7" s="14">
        <v>0</v>
      </c>
      <c r="H7" s="14">
        <v>121.97242382812499</v>
      </c>
      <c r="I7" s="14">
        <v>37.922900799425875</v>
      </c>
      <c r="J7" s="14">
        <v>695.3404057063134</v>
      </c>
      <c r="K7" s="16"/>
      <c r="L7" s="17"/>
      <c r="N7" s="14">
        <v>829</v>
      </c>
      <c r="O7" s="15">
        <v>0.46055555555555555</v>
      </c>
      <c r="P7" s="14">
        <v>7</v>
      </c>
      <c r="Q7" s="14">
        <v>94.04954111111111</v>
      </c>
      <c r="R7" s="14">
        <v>0</v>
      </c>
      <c r="S7" s="14">
        <v>13.701072265625</v>
      </c>
      <c r="T7" s="14">
        <v>5.387530749117269</v>
      </c>
      <c r="U7" s="14">
        <v>113.13814412585339</v>
      </c>
      <c r="V7" s="16">
        <v>0.16270900295363944</v>
      </c>
      <c r="W7" s="17"/>
      <c r="Y7" s="14">
        <v>1339.2000122070312</v>
      </c>
      <c r="Z7" s="15">
        <v>0.744000006781684</v>
      </c>
      <c r="AA7" s="14">
        <v>11</v>
      </c>
      <c r="AB7" s="14">
        <v>134.91422107876247</v>
      </c>
      <c r="AC7" s="14">
        <v>0</v>
      </c>
      <c r="AD7" s="14">
        <v>22.2224765625</v>
      </c>
      <c r="AE7" s="14">
        <v>7.856834999139086</v>
      </c>
      <c r="AF7" s="14">
        <v>164.99353264040155</v>
      </c>
      <c r="AG7" s="16">
        <v>0.2372845462256782</v>
      </c>
      <c r="AH7" s="17"/>
      <c r="AJ7" s="14">
        <v>1890</v>
      </c>
      <c r="AK7" s="15">
        <v>1.05</v>
      </c>
      <c r="AL7" s="14">
        <v>18</v>
      </c>
      <c r="AM7" s="14">
        <v>173.78580555555556</v>
      </c>
      <c r="AN7" s="14">
        <v>0</v>
      </c>
      <c r="AO7" s="14">
        <v>50.647390625</v>
      </c>
      <c r="AP7" s="14">
        <v>17.954655293126617</v>
      </c>
      <c r="AQ7" s="14">
        <v>242.3878514736822</v>
      </c>
      <c r="AR7" s="16">
        <v>0.3485887624025951</v>
      </c>
      <c r="AS7" s="17"/>
      <c r="AU7" s="14">
        <v>1354</v>
      </c>
      <c r="AV7" s="15">
        <v>0.7522222222222222</v>
      </c>
      <c r="AW7" s="14">
        <v>13</v>
      </c>
      <c r="AX7" s="14">
        <v>132.69551333333334</v>
      </c>
      <c r="AY7" s="14">
        <v>0</v>
      </c>
      <c r="AZ7" s="14">
        <v>35.401484375</v>
      </c>
      <c r="BA7" s="14">
        <v>6.723879758042905</v>
      </c>
      <c r="BB7" s="14">
        <v>174.82087746637623</v>
      </c>
      <c r="BC7" s="16">
        <v>0.2514176884180872</v>
      </c>
      <c r="BD7" s="17"/>
    </row>
    <row r="8" spans="1:56" ht="12.75">
      <c r="A8" s="13">
        <v>2.4</v>
      </c>
      <c r="B8" s="13" t="s">
        <v>458</v>
      </c>
      <c r="C8" s="14">
        <v>80</v>
      </c>
      <c r="D8" s="15">
        <v>0.044444444444444446</v>
      </c>
      <c r="E8" s="14">
        <v>0</v>
      </c>
      <c r="F8" s="14">
        <v>9.98248888888889</v>
      </c>
      <c r="G8" s="14">
        <v>0</v>
      </c>
      <c r="H8" s="14">
        <v>0</v>
      </c>
      <c r="I8" s="14">
        <v>0.9982489037639565</v>
      </c>
      <c r="J8" s="14">
        <v>10.980737792652846</v>
      </c>
      <c r="K8" s="16"/>
      <c r="L8" s="17"/>
      <c r="N8" s="14">
        <v>40</v>
      </c>
      <c r="O8" s="15">
        <v>0.022222222222222223</v>
      </c>
      <c r="P8" s="14">
        <v>0</v>
      </c>
      <c r="Q8" s="14">
        <v>4.991244444444445</v>
      </c>
      <c r="R8" s="14">
        <v>0</v>
      </c>
      <c r="S8" s="14">
        <v>0</v>
      </c>
      <c r="T8" s="14">
        <v>0.49912445188197824</v>
      </c>
      <c r="U8" s="14">
        <v>5.490368896326423</v>
      </c>
      <c r="V8" s="16">
        <v>0.5</v>
      </c>
      <c r="W8" s="17"/>
      <c r="Y8" s="14">
        <v>40</v>
      </c>
      <c r="Z8" s="15">
        <v>0.022222222222222223</v>
      </c>
      <c r="AA8" s="14">
        <v>0</v>
      </c>
      <c r="AB8" s="14">
        <v>4.991244444444445</v>
      </c>
      <c r="AC8" s="14">
        <v>0</v>
      </c>
      <c r="AD8" s="14">
        <v>0</v>
      </c>
      <c r="AE8" s="14">
        <v>0.49912445188197824</v>
      </c>
      <c r="AF8" s="14">
        <v>5.490368896326423</v>
      </c>
      <c r="AG8" s="16">
        <v>0.5</v>
      </c>
      <c r="AH8" s="17"/>
      <c r="AJ8" s="14">
        <v>0</v>
      </c>
      <c r="AK8" s="15">
        <v>0</v>
      </c>
      <c r="AL8" s="14">
        <v>0</v>
      </c>
      <c r="AM8" s="14">
        <v>0</v>
      </c>
      <c r="AN8" s="14">
        <v>0</v>
      </c>
      <c r="AO8" s="14">
        <v>0</v>
      </c>
      <c r="AP8" s="14">
        <v>0</v>
      </c>
      <c r="AQ8" s="14">
        <v>0</v>
      </c>
      <c r="AR8" s="16">
        <v>0</v>
      </c>
      <c r="AS8" s="17"/>
      <c r="AU8" s="14">
        <v>0</v>
      </c>
      <c r="AV8" s="15">
        <v>0</v>
      </c>
      <c r="AW8" s="14">
        <v>0</v>
      </c>
      <c r="AX8" s="14">
        <v>0</v>
      </c>
      <c r="AY8" s="14">
        <v>0</v>
      </c>
      <c r="AZ8" s="14">
        <v>0</v>
      </c>
      <c r="BA8" s="14">
        <v>0</v>
      </c>
      <c r="BB8" s="14">
        <v>0</v>
      </c>
      <c r="BC8" s="16">
        <v>0</v>
      </c>
      <c r="BD8" s="17"/>
    </row>
    <row r="9" spans="1:56" ht="12.75">
      <c r="A9" s="13">
        <v>2.5</v>
      </c>
      <c r="B9" s="13" t="s">
        <v>459</v>
      </c>
      <c r="C9" s="14">
        <v>460</v>
      </c>
      <c r="D9" s="15">
        <v>0.25555555555555554</v>
      </c>
      <c r="E9" s="14">
        <v>2</v>
      </c>
      <c r="F9" s="14">
        <v>53.240697777777775</v>
      </c>
      <c r="G9" s="14">
        <v>0</v>
      </c>
      <c r="H9" s="14">
        <v>7.54347021484375</v>
      </c>
      <c r="I9" s="14">
        <v>8.20601411740246</v>
      </c>
      <c r="J9" s="14">
        <v>68.990182110024</v>
      </c>
      <c r="K9" s="16"/>
      <c r="L9" s="17"/>
      <c r="N9" s="14">
        <v>180</v>
      </c>
      <c r="O9" s="15">
        <v>0.1</v>
      </c>
      <c r="P9" s="14">
        <v>0</v>
      </c>
      <c r="Q9" s="14">
        <v>20.86113333333333</v>
      </c>
      <c r="R9" s="14">
        <v>0</v>
      </c>
      <c r="S9" s="14">
        <v>0</v>
      </c>
      <c r="T9" s="14">
        <v>2.0861133644188445</v>
      </c>
      <c r="U9" s="14">
        <v>22.947246697752178</v>
      </c>
      <c r="V9" s="16">
        <v>0.3326161200901952</v>
      </c>
      <c r="W9" s="17"/>
      <c r="Y9" s="14">
        <v>180</v>
      </c>
      <c r="Z9" s="15">
        <v>0.1</v>
      </c>
      <c r="AA9" s="14">
        <v>2</v>
      </c>
      <c r="AB9" s="14">
        <v>20.86113333333333</v>
      </c>
      <c r="AC9" s="14">
        <v>0</v>
      </c>
      <c r="AD9" s="14">
        <v>7.54347021484375</v>
      </c>
      <c r="AE9" s="14">
        <v>5.680920794287732</v>
      </c>
      <c r="AF9" s="14">
        <v>34.085524342464815</v>
      </c>
      <c r="AG9" s="16">
        <v>0.4940634058351373</v>
      </c>
      <c r="AH9" s="17"/>
      <c r="AJ9" s="14">
        <v>60</v>
      </c>
      <c r="AK9" s="15">
        <v>0.03333333333333333</v>
      </c>
      <c r="AL9" s="14">
        <v>0</v>
      </c>
      <c r="AM9" s="14">
        <v>6.953711111111112</v>
      </c>
      <c r="AN9" s="14">
        <v>0</v>
      </c>
      <c r="AO9" s="14">
        <v>0</v>
      </c>
      <c r="AP9" s="14">
        <v>0.3476855607364741</v>
      </c>
      <c r="AQ9" s="14">
        <v>7.301396671847586</v>
      </c>
      <c r="AR9" s="16">
        <v>0.1058324017786108</v>
      </c>
      <c r="AS9" s="17"/>
      <c r="AU9" s="14">
        <v>40</v>
      </c>
      <c r="AV9" s="15">
        <v>0.022222222222222223</v>
      </c>
      <c r="AW9" s="14">
        <v>0</v>
      </c>
      <c r="AX9" s="14">
        <v>4.56472</v>
      </c>
      <c r="AY9" s="14">
        <v>0</v>
      </c>
      <c r="AZ9" s="14">
        <v>0</v>
      </c>
      <c r="BA9" s="14">
        <v>0.09129439795941115</v>
      </c>
      <c r="BB9" s="14">
        <v>4.656014397959411</v>
      </c>
      <c r="BC9" s="16">
        <v>0.06748807229605662</v>
      </c>
      <c r="BD9" s="17"/>
    </row>
    <row r="10" spans="1:56" ht="12.75">
      <c r="A10" s="13">
        <v>2.6</v>
      </c>
      <c r="B10" s="13" t="s">
        <v>460</v>
      </c>
      <c r="C10" s="14">
        <v>3544</v>
      </c>
      <c r="D10" s="15">
        <v>1.968888888888889</v>
      </c>
      <c r="E10" s="14">
        <v>104</v>
      </c>
      <c r="F10" s="14">
        <v>376.1531244444444</v>
      </c>
      <c r="G10" s="14">
        <v>0</v>
      </c>
      <c r="H10" s="14">
        <v>382.627685546875</v>
      </c>
      <c r="I10" s="14">
        <v>69.39436533701024</v>
      </c>
      <c r="J10" s="14">
        <v>828.1751753283297</v>
      </c>
      <c r="K10" s="16"/>
      <c r="L10" s="17"/>
      <c r="N10" s="14">
        <v>456</v>
      </c>
      <c r="O10" s="15">
        <v>0.25333333333333335</v>
      </c>
      <c r="P10" s="14">
        <v>13</v>
      </c>
      <c r="Q10" s="14">
        <v>48.23683111111111</v>
      </c>
      <c r="R10" s="14">
        <v>0</v>
      </c>
      <c r="S10" s="14">
        <v>32.725615234375</v>
      </c>
      <c r="T10" s="14">
        <v>4.048122377596028</v>
      </c>
      <c r="U10" s="14">
        <v>85.01056872308214</v>
      </c>
      <c r="V10" s="16">
        <v>0.10264805231499452</v>
      </c>
      <c r="W10" s="17"/>
      <c r="Y10" s="14">
        <v>548</v>
      </c>
      <c r="Z10" s="15">
        <v>0.30444444444444446</v>
      </c>
      <c r="AA10" s="14">
        <v>16</v>
      </c>
      <c r="AB10" s="14">
        <v>57.94227111111111</v>
      </c>
      <c r="AC10" s="14">
        <v>0</v>
      </c>
      <c r="AD10" s="14">
        <v>63.8374296875</v>
      </c>
      <c r="AE10" s="14">
        <v>9.742375846129814</v>
      </c>
      <c r="AF10" s="14">
        <v>131.52207664474093</v>
      </c>
      <c r="AG10" s="16">
        <v>0.15880948929989244</v>
      </c>
      <c r="AH10" s="17"/>
      <c r="AJ10" s="14">
        <v>1524</v>
      </c>
      <c r="AK10" s="15">
        <v>0.8466666666666667</v>
      </c>
      <c r="AL10" s="14">
        <v>43</v>
      </c>
      <c r="AM10" s="14">
        <v>161.98441333333332</v>
      </c>
      <c r="AN10" s="14">
        <v>0</v>
      </c>
      <c r="AO10" s="14">
        <v>158.38978125</v>
      </c>
      <c r="AP10" s="14">
        <v>32.03741993572808</v>
      </c>
      <c r="AQ10" s="14">
        <v>352.41161451906135</v>
      </c>
      <c r="AR10" s="16">
        <v>0.4255278653810746</v>
      </c>
      <c r="AS10" s="17"/>
      <c r="AU10" s="14">
        <v>1016</v>
      </c>
      <c r="AV10" s="15">
        <v>0.5644444444444444</v>
      </c>
      <c r="AW10" s="14">
        <v>32</v>
      </c>
      <c r="AX10" s="14">
        <v>107.9896088888889</v>
      </c>
      <c r="AY10" s="14">
        <v>0</v>
      </c>
      <c r="AZ10" s="14">
        <v>127.674859375</v>
      </c>
      <c r="BA10" s="14">
        <v>23.566447177556313</v>
      </c>
      <c r="BB10" s="14">
        <v>259.2309154414452</v>
      </c>
      <c r="BC10" s="16">
        <v>0.3130145930040383</v>
      </c>
      <c r="BD10" s="17"/>
    </row>
    <row r="11" spans="1:56" ht="12.75">
      <c r="A11" s="13">
        <v>2.7</v>
      </c>
      <c r="B11" s="13" t="s">
        <v>461</v>
      </c>
      <c r="C11" s="14">
        <v>20066</v>
      </c>
      <c r="D11" s="15">
        <v>11.147777777777778</v>
      </c>
      <c r="E11" s="14">
        <v>23</v>
      </c>
      <c r="F11" s="14">
        <v>1010.1489</v>
      </c>
      <c r="G11" s="14">
        <v>354.024</v>
      </c>
      <c r="H11" s="14">
        <v>66.96990673828125</v>
      </c>
      <c r="I11" s="14">
        <v>123.00225937063377</v>
      </c>
      <c r="J11" s="14">
        <v>1554.145066108915</v>
      </c>
      <c r="K11" s="16"/>
      <c r="L11" s="17"/>
      <c r="N11" s="14">
        <v>3361</v>
      </c>
      <c r="O11" s="15">
        <v>1.8672222222222221</v>
      </c>
      <c r="P11" s="14">
        <v>4</v>
      </c>
      <c r="Q11" s="14">
        <v>165.58855555555556</v>
      </c>
      <c r="R11" s="14">
        <v>59.171</v>
      </c>
      <c r="S11" s="14">
        <v>11.6469404296875</v>
      </c>
      <c r="T11" s="14">
        <v>18.912519256091688</v>
      </c>
      <c r="U11" s="14">
        <v>255.31901524133474</v>
      </c>
      <c r="V11" s="16">
        <v>0.16428261480157214</v>
      </c>
      <c r="W11" s="17"/>
      <c r="Y11" s="14">
        <v>3990</v>
      </c>
      <c r="Z11" s="15">
        <v>2.216666666666667</v>
      </c>
      <c r="AA11" s="14">
        <v>5</v>
      </c>
      <c r="AB11" s="14">
        <v>191.67797777777773</v>
      </c>
      <c r="AC11" s="14">
        <v>105.785</v>
      </c>
      <c r="AD11" s="14">
        <v>14.55867578125</v>
      </c>
      <c r="AE11" s="14">
        <v>24.961731726784024</v>
      </c>
      <c r="AF11" s="14">
        <v>336.9833852858117</v>
      </c>
      <c r="AG11" s="16">
        <v>0.2168287842842824</v>
      </c>
      <c r="AH11" s="17"/>
      <c r="AJ11" s="14">
        <v>9250</v>
      </c>
      <c r="AK11" s="15">
        <v>5.138888888888889</v>
      </c>
      <c r="AL11" s="14">
        <v>12</v>
      </c>
      <c r="AM11" s="14">
        <v>483.16266666666667</v>
      </c>
      <c r="AN11" s="14">
        <v>181.742</v>
      </c>
      <c r="AO11" s="14">
        <v>34.9408203125</v>
      </c>
      <c r="AP11" s="14">
        <v>69.98454974076772</v>
      </c>
      <c r="AQ11" s="14">
        <v>769.8300367199345</v>
      </c>
      <c r="AR11" s="16">
        <v>0.4953398839706412</v>
      </c>
      <c r="AS11" s="17"/>
      <c r="AU11" s="14">
        <v>3465</v>
      </c>
      <c r="AV11" s="15">
        <v>1.925</v>
      </c>
      <c r="AW11" s="14">
        <v>2</v>
      </c>
      <c r="AX11" s="14">
        <v>169.71970000000002</v>
      </c>
      <c r="AY11" s="14">
        <v>7.326</v>
      </c>
      <c r="AZ11" s="14">
        <v>5.82347021484375</v>
      </c>
      <c r="BA11" s="14">
        <v>9.143458646990338</v>
      </c>
      <c r="BB11" s="14">
        <v>192.0126288618341</v>
      </c>
      <c r="BC11" s="16">
        <v>0.12354871694350428</v>
      </c>
      <c r="BD11" s="17"/>
    </row>
    <row r="12" spans="1:56" ht="12.75">
      <c r="A12" s="8">
        <v>3</v>
      </c>
      <c r="B12" s="9" t="s">
        <v>462</v>
      </c>
      <c r="C12" s="10"/>
      <c r="D12" s="10"/>
      <c r="E12" s="10"/>
      <c r="F12" s="10"/>
      <c r="G12" s="10"/>
      <c r="H12" s="10"/>
      <c r="I12" s="10"/>
      <c r="J12" s="10"/>
      <c r="K12" s="11">
        <v>0.06834673234317354</v>
      </c>
      <c r="L12" s="12">
        <v>2886.062095217276</v>
      </c>
      <c r="N12" s="10"/>
      <c r="O12" s="10"/>
      <c r="P12" s="10"/>
      <c r="Q12" s="10"/>
      <c r="R12" s="10"/>
      <c r="S12" s="10"/>
      <c r="T12" s="10"/>
      <c r="U12" s="10"/>
      <c r="V12" s="10"/>
      <c r="W12" s="12">
        <v>908.6678041410946</v>
      </c>
      <c r="Y12" s="10"/>
      <c r="Z12" s="10"/>
      <c r="AA12" s="10"/>
      <c r="AB12" s="10"/>
      <c r="AC12" s="10"/>
      <c r="AD12" s="10"/>
      <c r="AE12" s="10"/>
      <c r="AF12" s="10"/>
      <c r="AG12" s="10"/>
      <c r="AH12" s="12">
        <v>1186.0424357644579</v>
      </c>
      <c r="AJ12" s="10"/>
      <c r="AK12" s="10"/>
      <c r="AL12" s="10"/>
      <c r="AM12" s="10"/>
      <c r="AN12" s="10"/>
      <c r="AO12" s="10"/>
      <c r="AP12" s="10"/>
      <c r="AQ12" s="10"/>
      <c r="AR12" s="10"/>
      <c r="AS12" s="12">
        <v>553.8552800929428</v>
      </c>
      <c r="AU12" s="10"/>
      <c r="AV12" s="10"/>
      <c r="AW12" s="10"/>
      <c r="AX12" s="10"/>
      <c r="AY12" s="10"/>
      <c r="AZ12" s="10"/>
      <c r="BA12" s="10"/>
      <c r="BB12" s="10"/>
      <c r="BC12" s="10"/>
      <c r="BD12" s="12">
        <v>237.49657521878157</v>
      </c>
    </row>
    <row r="13" spans="1:55" ht="12.75">
      <c r="A13" s="13">
        <v>3.1</v>
      </c>
      <c r="B13" s="19" t="s">
        <v>463</v>
      </c>
      <c r="C13" s="20"/>
      <c r="D13" s="21"/>
      <c r="E13" s="20"/>
      <c r="F13" s="20"/>
      <c r="G13" s="20"/>
      <c r="H13" s="20"/>
      <c r="I13" s="20"/>
      <c r="J13" s="20"/>
      <c r="K13" s="22"/>
      <c r="N13" s="20"/>
      <c r="O13" s="21"/>
      <c r="P13" s="20"/>
      <c r="Q13" s="20"/>
      <c r="R13" s="20"/>
      <c r="S13" s="20"/>
      <c r="T13" s="20"/>
      <c r="U13" s="20"/>
      <c r="V13" s="22"/>
      <c r="Y13" s="20"/>
      <c r="Z13" s="21"/>
      <c r="AA13" s="20"/>
      <c r="AB13" s="20"/>
      <c r="AC13" s="20"/>
      <c r="AD13" s="20"/>
      <c r="AE13" s="20"/>
      <c r="AF13" s="20"/>
      <c r="AG13" s="22"/>
      <c r="AJ13" s="20"/>
      <c r="AK13" s="21"/>
      <c r="AL13" s="20"/>
      <c r="AM13" s="20"/>
      <c r="AN13" s="20"/>
      <c r="AO13" s="20"/>
      <c r="AP13" s="20"/>
      <c r="AQ13" s="20"/>
      <c r="AR13" s="22"/>
      <c r="AU13" s="20"/>
      <c r="AV13" s="21"/>
      <c r="AW13" s="20"/>
      <c r="AX13" s="20"/>
      <c r="AY13" s="20"/>
      <c r="AZ13" s="20"/>
      <c r="BA13" s="20"/>
      <c r="BB13" s="20"/>
      <c r="BC13" s="22"/>
    </row>
    <row r="14" spans="1:56" ht="12.75">
      <c r="A14" s="23" t="s">
        <v>464</v>
      </c>
      <c r="B14" s="13" t="s">
        <v>465</v>
      </c>
      <c r="C14" s="14">
        <v>3460</v>
      </c>
      <c r="D14" s="15">
        <v>1.9222222222222223</v>
      </c>
      <c r="E14" s="14">
        <v>17</v>
      </c>
      <c r="F14" s="14">
        <v>158.59352222222225</v>
      </c>
      <c r="G14" s="14">
        <v>2.016</v>
      </c>
      <c r="H14" s="14">
        <v>15.62243798828125</v>
      </c>
      <c r="I14" s="14">
        <v>12.336237267256461</v>
      </c>
      <c r="J14" s="14">
        <v>188.56819747775995</v>
      </c>
      <c r="K14" s="16"/>
      <c r="L14" s="17"/>
      <c r="N14" s="14">
        <v>2260</v>
      </c>
      <c r="O14" s="15">
        <v>1.2555555555555555</v>
      </c>
      <c r="P14" s="14">
        <v>5</v>
      </c>
      <c r="Q14" s="14">
        <v>108.4601888888889</v>
      </c>
      <c r="R14" s="14">
        <v>2.016</v>
      </c>
      <c r="S14" s="14">
        <v>4.59483447265625</v>
      </c>
      <c r="T14" s="14">
        <v>8.054971669601997</v>
      </c>
      <c r="U14" s="14">
        <v>123.12599503114714</v>
      </c>
      <c r="V14" s="16">
        <v>0.6529520708054115</v>
      </c>
      <c r="W14" s="17"/>
      <c r="Y14" s="14">
        <v>680</v>
      </c>
      <c r="Z14" s="15">
        <v>0.37777777777777777</v>
      </c>
      <c r="AA14" s="14">
        <v>6</v>
      </c>
      <c r="AB14" s="14">
        <v>28.40888888888889</v>
      </c>
      <c r="AC14" s="14">
        <v>0</v>
      </c>
      <c r="AD14" s="14">
        <v>5.5138017578125</v>
      </c>
      <c r="AE14" s="14">
        <v>2.374588355378847</v>
      </c>
      <c r="AF14" s="14">
        <v>36.29727900208024</v>
      </c>
      <c r="AG14" s="16">
        <v>0.19248886868296655</v>
      </c>
      <c r="AH14" s="17"/>
      <c r="AJ14" s="14">
        <v>520</v>
      </c>
      <c r="AK14" s="15">
        <v>0.28888888888888886</v>
      </c>
      <c r="AL14" s="14">
        <v>6</v>
      </c>
      <c r="AM14" s="14">
        <v>21.724444444444444</v>
      </c>
      <c r="AN14" s="14">
        <v>0</v>
      </c>
      <c r="AO14" s="14">
        <v>5.5138017578125</v>
      </c>
      <c r="AP14" s="14">
        <v>1.9066772422756162</v>
      </c>
      <c r="AQ14" s="14">
        <v>29.144923444532562</v>
      </c>
      <c r="AR14" s="16">
        <v>0.15455906051162185</v>
      </c>
      <c r="AS14" s="17"/>
      <c r="AU14" s="14">
        <v>0</v>
      </c>
      <c r="AV14" s="15">
        <v>0</v>
      </c>
      <c r="AW14" s="14">
        <v>0</v>
      </c>
      <c r="AX14" s="14">
        <v>0</v>
      </c>
      <c r="AY14" s="14">
        <v>0</v>
      </c>
      <c r="AZ14" s="14">
        <v>0</v>
      </c>
      <c r="BA14" s="14">
        <v>0</v>
      </c>
      <c r="BB14" s="14">
        <v>0</v>
      </c>
      <c r="BC14" s="16">
        <v>0</v>
      </c>
      <c r="BD14" s="17"/>
    </row>
    <row r="15" spans="1:56" ht="12.75">
      <c r="A15" s="23" t="s">
        <v>466</v>
      </c>
      <c r="B15" s="13" t="s">
        <v>467</v>
      </c>
      <c r="C15" s="14">
        <v>1800</v>
      </c>
      <c r="D15" s="15">
        <v>1</v>
      </c>
      <c r="E15" s="14">
        <v>0</v>
      </c>
      <c r="F15" s="14">
        <v>100.77598888888889</v>
      </c>
      <c r="G15" s="14">
        <v>0</v>
      </c>
      <c r="H15" s="14">
        <v>0</v>
      </c>
      <c r="I15" s="14">
        <v>19.248710431488686</v>
      </c>
      <c r="J15" s="14">
        <v>120.02469932037758</v>
      </c>
      <c r="K15" s="16"/>
      <c r="L15" s="17"/>
      <c r="N15" s="14">
        <v>420</v>
      </c>
      <c r="O15" s="15">
        <v>0.23333333333333334</v>
      </c>
      <c r="P15" s="14">
        <v>0</v>
      </c>
      <c r="Q15" s="14">
        <v>22.47697777777778</v>
      </c>
      <c r="R15" s="14">
        <v>0</v>
      </c>
      <c r="S15" s="14">
        <v>0</v>
      </c>
      <c r="T15" s="14">
        <v>2.0229280803839367</v>
      </c>
      <c r="U15" s="14">
        <v>24.499905858161718</v>
      </c>
      <c r="V15" s="16">
        <v>0.2041238678112828</v>
      </c>
      <c r="W15" s="17"/>
      <c r="Y15" s="14">
        <v>920</v>
      </c>
      <c r="Z15" s="15">
        <v>0.5111111111111111</v>
      </c>
      <c r="AA15" s="14">
        <v>0</v>
      </c>
      <c r="AB15" s="14">
        <v>50.453188888888896</v>
      </c>
      <c r="AC15" s="14">
        <v>0</v>
      </c>
      <c r="AD15" s="14">
        <v>0</v>
      </c>
      <c r="AE15" s="14">
        <v>11.099701495410669</v>
      </c>
      <c r="AF15" s="14">
        <v>61.552890384299566</v>
      </c>
      <c r="AG15" s="16">
        <v>0.5128351975287908</v>
      </c>
      <c r="AH15" s="17"/>
      <c r="AJ15" s="14">
        <v>300</v>
      </c>
      <c r="AK15" s="15">
        <v>0.16666666666666666</v>
      </c>
      <c r="AL15" s="14">
        <v>0</v>
      </c>
      <c r="AM15" s="14">
        <v>21.161377777777776</v>
      </c>
      <c r="AN15" s="14">
        <v>0</v>
      </c>
      <c r="AO15" s="14">
        <v>0</v>
      </c>
      <c r="AP15" s="14">
        <v>4.655503085884782</v>
      </c>
      <c r="AQ15" s="14">
        <v>25.816880863662558</v>
      </c>
      <c r="AR15" s="16">
        <v>0.21509640107283662</v>
      </c>
      <c r="AS15" s="17"/>
      <c r="AU15" s="14">
        <v>160</v>
      </c>
      <c r="AV15" s="15">
        <v>0.08888888888888889</v>
      </c>
      <c r="AW15" s="14">
        <v>0</v>
      </c>
      <c r="AX15" s="14">
        <v>6.684444444444444</v>
      </c>
      <c r="AY15" s="14">
        <v>0</v>
      </c>
      <c r="AZ15" s="14">
        <v>0</v>
      </c>
      <c r="BA15" s="14">
        <v>1.470577769809299</v>
      </c>
      <c r="BB15" s="14">
        <v>8.155022214253743</v>
      </c>
      <c r="BC15" s="16">
        <v>0.06794453358708975</v>
      </c>
      <c r="BD15" s="17"/>
    </row>
    <row r="16" spans="1:56" ht="12.75">
      <c r="A16" s="23" t="s">
        <v>468</v>
      </c>
      <c r="B16" s="13" t="s">
        <v>469</v>
      </c>
      <c r="C16" s="14">
        <v>670</v>
      </c>
      <c r="D16" s="15">
        <v>0.37222222222222223</v>
      </c>
      <c r="E16" s="14">
        <v>22</v>
      </c>
      <c r="F16" s="14">
        <v>27.99111111111111</v>
      </c>
      <c r="G16" s="14">
        <v>0</v>
      </c>
      <c r="H16" s="14">
        <v>32.33111328125</v>
      </c>
      <c r="I16" s="14">
        <v>10.624045228179309</v>
      </c>
      <c r="J16" s="14">
        <v>70.94626962054042</v>
      </c>
      <c r="K16" s="16"/>
      <c r="L16" s="17"/>
      <c r="N16" s="14">
        <v>130</v>
      </c>
      <c r="O16" s="15">
        <v>0.07222222222222222</v>
      </c>
      <c r="P16" s="14">
        <v>7</v>
      </c>
      <c r="Q16" s="14">
        <v>5.431111111111111</v>
      </c>
      <c r="R16" s="14">
        <v>0</v>
      </c>
      <c r="S16" s="14">
        <v>11.2783046875</v>
      </c>
      <c r="T16" s="14">
        <v>3.0076949632650547</v>
      </c>
      <c r="U16" s="14">
        <v>19.717110761876167</v>
      </c>
      <c r="V16" s="16">
        <v>0.27791610281039575</v>
      </c>
      <c r="W16" s="17"/>
      <c r="Y16" s="14">
        <v>180</v>
      </c>
      <c r="Z16" s="15">
        <v>0.1</v>
      </c>
      <c r="AA16" s="14">
        <v>8</v>
      </c>
      <c r="AB16" s="14">
        <v>7.52</v>
      </c>
      <c r="AC16" s="14">
        <v>0</v>
      </c>
      <c r="AD16" s="14">
        <v>12.197271484375</v>
      </c>
      <c r="AE16" s="14">
        <v>3.5491090082164156</v>
      </c>
      <c r="AF16" s="14">
        <v>23.266380492591413</v>
      </c>
      <c r="AG16" s="16">
        <v>0.32794367648972644</v>
      </c>
      <c r="AH16" s="17"/>
      <c r="AJ16" s="14">
        <v>220</v>
      </c>
      <c r="AK16" s="15">
        <v>0.12222222222222222</v>
      </c>
      <c r="AL16" s="14">
        <v>7</v>
      </c>
      <c r="AM16" s="14">
        <v>9.19111111111111</v>
      </c>
      <c r="AN16" s="14">
        <v>0</v>
      </c>
      <c r="AO16" s="14">
        <v>8.855537109375</v>
      </c>
      <c r="AP16" s="14">
        <v>3.2483968087671866</v>
      </c>
      <c r="AQ16" s="14">
        <v>21.2950450292533</v>
      </c>
      <c r="AR16" s="16">
        <v>0.30015736053707803</v>
      </c>
      <c r="AS16" s="17"/>
      <c r="AU16" s="14">
        <v>140</v>
      </c>
      <c r="AV16" s="15">
        <v>0.07777777777777778</v>
      </c>
      <c r="AW16" s="14">
        <v>0</v>
      </c>
      <c r="AX16" s="14">
        <v>5.848888888888888</v>
      </c>
      <c r="AY16" s="14">
        <v>0</v>
      </c>
      <c r="AZ16" s="14">
        <v>0</v>
      </c>
      <c r="BA16" s="14">
        <v>0.8188444479306538</v>
      </c>
      <c r="BB16" s="14">
        <v>6.667733336819542</v>
      </c>
      <c r="BC16" s="16">
        <v>0.0939828601627998</v>
      </c>
      <c r="BD16" s="17"/>
    </row>
    <row r="17" spans="1:56" ht="12.75">
      <c r="A17" s="23" t="s">
        <v>470</v>
      </c>
      <c r="B17" s="13" t="s">
        <v>471</v>
      </c>
      <c r="C17" s="14">
        <v>312</v>
      </c>
      <c r="D17" s="15">
        <v>0.17333333333333334</v>
      </c>
      <c r="E17" s="14">
        <v>12</v>
      </c>
      <c r="F17" s="14">
        <v>13.034666666666666</v>
      </c>
      <c r="G17" s="14">
        <v>0</v>
      </c>
      <c r="H17" s="14">
        <v>65.59883203125</v>
      </c>
      <c r="I17" s="14">
        <v>4.7180098164192605</v>
      </c>
      <c r="J17" s="14">
        <v>83.35150851433592</v>
      </c>
      <c r="K17" s="16"/>
      <c r="L17" s="17"/>
      <c r="N17" s="14">
        <v>104</v>
      </c>
      <c r="O17" s="15">
        <v>0.057777777777777775</v>
      </c>
      <c r="P17" s="14">
        <v>4</v>
      </c>
      <c r="Q17" s="14">
        <v>4.344888888888889</v>
      </c>
      <c r="R17" s="14">
        <v>0</v>
      </c>
      <c r="S17" s="14">
        <v>21.86627734375</v>
      </c>
      <c r="T17" s="14">
        <v>1.5726699388064203</v>
      </c>
      <c r="U17" s="14">
        <v>27.78383617144531</v>
      </c>
      <c r="V17" s="16">
        <v>0.33333333333333337</v>
      </c>
      <c r="W17" s="17"/>
      <c r="Y17" s="14">
        <v>104</v>
      </c>
      <c r="Z17" s="15">
        <v>0.057777777777777775</v>
      </c>
      <c r="AA17" s="14">
        <v>4</v>
      </c>
      <c r="AB17" s="14">
        <v>4.344888888888889</v>
      </c>
      <c r="AC17" s="14">
        <v>0</v>
      </c>
      <c r="AD17" s="14">
        <v>21.86627734375</v>
      </c>
      <c r="AE17" s="14">
        <v>1.5726699388064203</v>
      </c>
      <c r="AF17" s="14">
        <v>27.78383617144531</v>
      </c>
      <c r="AG17" s="16">
        <v>0.33333333333333337</v>
      </c>
      <c r="AH17" s="17"/>
      <c r="AJ17" s="14">
        <v>104</v>
      </c>
      <c r="AK17" s="15">
        <v>0.057777777777777775</v>
      </c>
      <c r="AL17" s="14">
        <v>4</v>
      </c>
      <c r="AM17" s="14">
        <v>4.344888888888889</v>
      </c>
      <c r="AN17" s="14">
        <v>0</v>
      </c>
      <c r="AO17" s="14">
        <v>21.86627734375</v>
      </c>
      <c r="AP17" s="14">
        <v>1.5726699388064203</v>
      </c>
      <c r="AQ17" s="14">
        <v>27.78383617144531</v>
      </c>
      <c r="AR17" s="16">
        <v>0.33333333333333337</v>
      </c>
      <c r="AS17" s="17"/>
      <c r="AU17" s="14">
        <v>0</v>
      </c>
      <c r="AV17" s="15">
        <v>0</v>
      </c>
      <c r="AW17" s="14">
        <v>0</v>
      </c>
      <c r="AX17" s="14">
        <v>0</v>
      </c>
      <c r="AY17" s="14">
        <v>0</v>
      </c>
      <c r="AZ17" s="14">
        <v>0</v>
      </c>
      <c r="BA17" s="14">
        <v>0</v>
      </c>
      <c r="BB17" s="14">
        <v>0</v>
      </c>
      <c r="BC17" s="16">
        <v>0</v>
      </c>
      <c r="BD17" s="17"/>
    </row>
    <row r="18" spans="1:56" ht="12.75">
      <c r="A18" s="23" t="s">
        <v>472</v>
      </c>
      <c r="B18" s="13" t="s">
        <v>473</v>
      </c>
      <c r="C18" s="14">
        <v>280</v>
      </c>
      <c r="D18" s="15">
        <v>0.15555555555555556</v>
      </c>
      <c r="E18" s="14">
        <v>8</v>
      </c>
      <c r="F18" s="14">
        <v>11.697777777777777</v>
      </c>
      <c r="G18" s="14">
        <v>0</v>
      </c>
      <c r="H18" s="14">
        <v>7.3517353515625</v>
      </c>
      <c r="I18" s="14">
        <v>1.1429707622130287</v>
      </c>
      <c r="J18" s="14">
        <v>20.192483891553305</v>
      </c>
      <c r="K18" s="16"/>
      <c r="L18" s="17"/>
      <c r="N18" s="14">
        <v>70</v>
      </c>
      <c r="O18" s="15">
        <v>0.03888888888888889</v>
      </c>
      <c r="P18" s="14">
        <v>2</v>
      </c>
      <c r="Q18" s="14">
        <v>2.924444444444444</v>
      </c>
      <c r="R18" s="14">
        <v>0</v>
      </c>
      <c r="S18" s="14">
        <v>1.837933837890625</v>
      </c>
      <c r="T18" s="14">
        <v>0.2857426905532572</v>
      </c>
      <c r="U18" s="14">
        <v>5.048120972888326</v>
      </c>
      <c r="V18" s="16">
        <v>0.25</v>
      </c>
      <c r="W18" s="17"/>
      <c r="Y18" s="14">
        <v>70</v>
      </c>
      <c r="Z18" s="15">
        <v>0.03888888888888889</v>
      </c>
      <c r="AA18" s="14">
        <v>2</v>
      </c>
      <c r="AB18" s="14">
        <v>2.924444444444444</v>
      </c>
      <c r="AC18" s="14">
        <v>0</v>
      </c>
      <c r="AD18" s="14">
        <v>1.837933837890625</v>
      </c>
      <c r="AE18" s="14">
        <v>0.2857426905532572</v>
      </c>
      <c r="AF18" s="14">
        <v>5.048120972888326</v>
      </c>
      <c r="AG18" s="16">
        <v>0.25</v>
      </c>
      <c r="AH18" s="17"/>
      <c r="AJ18" s="14">
        <v>70</v>
      </c>
      <c r="AK18" s="15">
        <v>0.03888888888888889</v>
      </c>
      <c r="AL18" s="14">
        <v>2</v>
      </c>
      <c r="AM18" s="14">
        <v>2.924444444444444</v>
      </c>
      <c r="AN18" s="14">
        <v>0</v>
      </c>
      <c r="AO18" s="14">
        <v>1.837933837890625</v>
      </c>
      <c r="AP18" s="14">
        <v>0.2857426905532572</v>
      </c>
      <c r="AQ18" s="14">
        <v>5.048120972888326</v>
      </c>
      <c r="AR18" s="16">
        <v>0.25</v>
      </c>
      <c r="AS18" s="17"/>
      <c r="AU18" s="14">
        <v>70</v>
      </c>
      <c r="AV18" s="15">
        <v>0.03888888888888889</v>
      </c>
      <c r="AW18" s="14">
        <v>2</v>
      </c>
      <c r="AX18" s="14">
        <v>2.924444444444444</v>
      </c>
      <c r="AY18" s="14">
        <v>0</v>
      </c>
      <c r="AZ18" s="14">
        <v>1.837933837890625</v>
      </c>
      <c r="BA18" s="14">
        <v>0.2857426905532572</v>
      </c>
      <c r="BB18" s="14">
        <v>5.048120972888326</v>
      </c>
      <c r="BC18" s="16">
        <v>0.25</v>
      </c>
      <c r="BD18" s="17"/>
    </row>
    <row r="19" spans="1:56" ht="12.75">
      <c r="A19" s="23" t="s">
        <v>474</v>
      </c>
      <c r="B19" s="13" t="s">
        <v>475</v>
      </c>
      <c r="C19" s="14">
        <v>640</v>
      </c>
      <c r="D19" s="15">
        <v>0.35555555555555557</v>
      </c>
      <c r="E19" s="14">
        <v>32</v>
      </c>
      <c r="F19" s="14">
        <v>31.66808888888889</v>
      </c>
      <c r="G19" s="14">
        <v>0</v>
      </c>
      <c r="H19" s="14">
        <v>29.40694140625</v>
      </c>
      <c r="I19" s="14">
        <v>3.664501735800335</v>
      </c>
      <c r="J19" s="14">
        <v>64.73953203093922</v>
      </c>
      <c r="K19" s="16"/>
      <c r="L19" s="17"/>
      <c r="N19" s="14">
        <v>160</v>
      </c>
      <c r="O19" s="15">
        <v>0.08888888888888889</v>
      </c>
      <c r="P19" s="14">
        <v>8</v>
      </c>
      <c r="Q19" s="14">
        <v>7.917022222222222</v>
      </c>
      <c r="R19" s="14">
        <v>0</v>
      </c>
      <c r="S19" s="14">
        <v>7.3517353515625</v>
      </c>
      <c r="T19" s="14">
        <v>0.9161254339500837</v>
      </c>
      <c r="U19" s="14">
        <v>16.184883007734804</v>
      </c>
      <c r="V19" s="16">
        <v>0.25</v>
      </c>
      <c r="W19" s="17"/>
      <c r="Y19" s="14">
        <v>160</v>
      </c>
      <c r="Z19" s="15">
        <v>0.08888888888888889</v>
      </c>
      <c r="AA19" s="14">
        <v>8</v>
      </c>
      <c r="AB19" s="14">
        <v>7.917022222222222</v>
      </c>
      <c r="AC19" s="14">
        <v>0</v>
      </c>
      <c r="AD19" s="14">
        <v>7.3517353515625</v>
      </c>
      <c r="AE19" s="14">
        <v>0.9161254339500837</v>
      </c>
      <c r="AF19" s="14">
        <v>16.184883007734804</v>
      </c>
      <c r="AG19" s="16">
        <v>0.25</v>
      </c>
      <c r="AH19" s="17"/>
      <c r="AJ19" s="14">
        <v>160</v>
      </c>
      <c r="AK19" s="15">
        <v>0.08888888888888889</v>
      </c>
      <c r="AL19" s="14">
        <v>8</v>
      </c>
      <c r="AM19" s="14">
        <v>7.917022222222222</v>
      </c>
      <c r="AN19" s="14">
        <v>0</v>
      </c>
      <c r="AO19" s="14">
        <v>7.3517353515625</v>
      </c>
      <c r="AP19" s="14">
        <v>0.9161254339500837</v>
      </c>
      <c r="AQ19" s="14">
        <v>16.184883007734804</v>
      </c>
      <c r="AR19" s="16">
        <v>0.25</v>
      </c>
      <c r="AS19" s="17"/>
      <c r="AU19" s="14">
        <v>160</v>
      </c>
      <c r="AV19" s="15">
        <v>0.08888888888888889</v>
      </c>
      <c r="AW19" s="14">
        <v>8</v>
      </c>
      <c r="AX19" s="14">
        <v>7.917022222222222</v>
      </c>
      <c r="AY19" s="14">
        <v>0</v>
      </c>
      <c r="AZ19" s="14">
        <v>7.3517353515625</v>
      </c>
      <c r="BA19" s="14">
        <v>0.9161254339500837</v>
      </c>
      <c r="BB19" s="14">
        <v>16.184883007734804</v>
      </c>
      <c r="BC19" s="16">
        <v>0.25</v>
      </c>
      <c r="BD19" s="17"/>
    </row>
    <row r="20" spans="1:56" ht="12.75">
      <c r="A20" s="13">
        <v>3.2</v>
      </c>
      <c r="B20" s="13" t="s">
        <v>476</v>
      </c>
      <c r="C20" s="14">
        <v>3699</v>
      </c>
      <c r="D20" s="15">
        <v>2.055</v>
      </c>
      <c r="E20" s="14">
        <v>0</v>
      </c>
      <c r="F20" s="14">
        <v>286.3904077777778</v>
      </c>
      <c r="G20" s="14">
        <v>0</v>
      </c>
      <c r="H20" s="14">
        <v>0</v>
      </c>
      <c r="I20" s="14">
        <v>22.911232110116266</v>
      </c>
      <c r="J20" s="14">
        <v>309.30163988789405</v>
      </c>
      <c r="K20" s="16"/>
      <c r="L20" s="17"/>
      <c r="N20" s="14">
        <v>1094</v>
      </c>
      <c r="O20" s="15">
        <v>0.6077777777777778</v>
      </c>
      <c r="P20" s="14">
        <v>0</v>
      </c>
      <c r="Q20" s="14">
        <v>83.50086888888889</v>
      </c>
      <c r="R20" s="14">
        <v>0</v>
      </c>
      <c r="S20" s="14">
        <v>0</v>
      </c>
      <c r="T20" s="14">
        <v>6.680069361799922</v>
      </c>
      <c r="U20" s="14">
        <v>90.18093825068881</v>
      </c>
      <c r="V20" s="16">
        <v>0.2915630783056138</v>
      </c>
      <c r="W20" s="17"/>
      <c r="Y20" s="14">
        <v>990</v>
      </c>
      <c r="Z20" s="15">
        <v>0.55</v>
      </c>
      <c r="AA20" s="14">
        <v>0</v>
      </c>
      <c r="AB20" s="14">
        <v>75.69596666666668</v>
      </c>
      <c r="AC20" s="14">
        <v>0</v>
      </c>
      <c r="AD20" s="14">
        <v>0</v>
      </c>
      <c r="AE20" s="14">
        <v>6.055677197978398</v>
      </c>
      <c r="AF20" s="14">
        <v>81.75164386464508</v>
      </c>
      <c r="AG20" s="16">
        <v>0.26431041197930877</v>
      </c>
      <c r="AH20" s="17"/>
      <c r="AJ20" s="14">
        <v>1135</v>
      </c>
      <c r="AK20" s="15">
        <v>0.6305555555555555</v>
      </c>
      <c r="AL20" s="14">
        <v>0</v>
      </c>
      <c r="AM20" s="14">
        <v>90.05150555555555</v>
      </c>
      <c r="AN20" s="14">
        <v>0</v>
      </c>
      <c r="AO20" s="14">
        <v>0</v>
      </c>
      <c r="AP20" s="14">
        <v>7.204120283419804</v>
      </c>
      <c r="AQ20" s="14">
        <v>97.25562583897535</v>
      </c>
      <c r="AR20" s="16">
        <v>0.31443617911054567</v>
      </c>
      <c r="AS20" s="17"/>
      <c r="AU20" s="14">
        <v>480</v>
      </c>
      <c r="AV20" s="15">
        <v>0.26666666666666666</v>
      </c>
      <c r="AW20" s="14">
        <v>0</v>
      </c>
      <c r="AX20" s="14">
        <v>37.142066666666665</v>
      </c>
      <c r="AY20" s="14">
        <v>0</v>
      </c>
      <c r="AZ20" s="14">
        <v>0</v>
      </c>
      <c r="BA20" s="14">
        <v>2.9713652669181423</v>
      </c>
      <c r="BB20" s="14">
        <v>40.113431933584806</v>
      </c>
      <c r="BC20" s="16">
        <v>0.12969033060453175</v>
      </c>
      <c r="BD20" s="17"/>
    </row>
    <row r="21" spans="1:56" ht="12.75">
      <c r="A21" s="13">
        <v>3.3</v>
      </c>
      <c r="B21" s="13" t="s">
        <v>477</v>
      </c>
      <c r="C21" s="17"/>
      <c r="D21" s="17"/>
      <c r="E21" s="17"/>
      <c r="F21" s="17"/>
      <c r="G21" s="17"/>
      <c r="H21" s="17"/>
      <c r="I21" s="17"/>
      <c r="J21" s="17"/>
      <c r="K21" s="16"/>
      <c r="L21" s="17"/>
      <c r="N21" s="17"/>
      <c r="O21" s="17"/>
      <c r="P21" s="17"/>
      <c r="Q21" s="17"/>
      <c r="R21" s="17"/>
      <c r="S21" s="17"/>
      <c r="T21" s="17"/>
      <c r="U21" s="17"/>
      <c r="V21" s="16"/>
      <c r="W21" s="17"/>
      <c r="Y21" s="17"/>
      <c r="Z21" s="17"/>
      <c r="AA21" s="17"/>
      <c r="AB21" s="17"/>
      <c r="AC21" s="17"/>
      <c r="AD21" s="17"/>
      <c r="AE21" s="17"/>
      <c r="AF21" s="17"/>
      <c r="AG21" s="16"/>
      <c r="AH21" s="17"/>
      <c r="AJ21" s="17"/>
      <c r="AK21" s="17"/>
      <c r="AL21" s="17"/>
      <c r="AM21" s="17"/>
      <c r="AN21" s="17"/>
      <c r="AO21" s="17"/>
      <c r="AP21" s="17"/>
      <c r="AQ21" s="17"/>
      <c r="AR21" s="16"/>
      <c r="AS21" s="17"/>
      <c r="AU21" s="17"/>
      <c r="AV21" s="17"/>
      <c r="AW21" s="17"/>
      <c r="AX21" s="17"/>
      <c r="AY21" s="17"/>
      <c r="AZ21" s="17"/>
      <c r="BA21" s="17"/>
      <c r="BB21" s="17"/>
      <c r="BC21" s="16"/>
      <c r="BD21" s="17"/>
    </row>
    <row r="22" spans="1:56" ht="12.75">
      <c r="A22" s="23" t="s">
        <v>478</v>
      </c>
      <c r="B22" s="13" t="s">
        <v>479</v>
      </c>
      <c r="C22" s="14">
        <v>2800</v>
      </c>
      <c r="D22" s="15">
        <v>1.5555555555555556</v>
      </c>
      <c r="E22" s="14">
        <v>13</v>
      </c>
      <c r="F22" s="14">
        <v>284.40844444444446</v>
      </c>
      <c r="G22" s="14">
        <v>0</v>
      </c>
      <c r="H22" s="14">
        <v>11.946570068359375</v>
      </c>
      <c r="I22" s="14">
        <v>66.47382114791368</v>
      </c>
      <c r="J22" s="14">
        <v>362.8288356607175</v>
      </c>
      <c r="K22" s="16"/>
      <c r="L22" s="17"/>
      <c r="N22" s="14">
        <v>748</v>
      </c>
      <c r="O22" s="15">
        <v>0.41555555555555557</v>
      </c>
      <c r="P22" s="14">
        <v>4</v>
      </c>
      <c r="Q22" s="14">
        <v>81.74204888888889</v>
      </c>
      <c r="R22" s="14">
        <v>0</v>
      </c>
      <c r="S22" s="14">
        <v>3.67586767578125</v>
      </c>
      <c r="T22" s="14">
        <v>17.083583567499257</v>
      </c>
      <c r="U22" s="14">
        <v>102.5015001321694</v>
      </c>
      <c r="V22" s="16">
        <v>0.2825064880676102</v>
      </c>
      <c r="W22" s="17"/>
      <c r="Y22" s="14">
        <v>1120</v>
      </c>
      <c r="Z22" s="15">
        <v>0.6222222222222222</v>
      </c>
      <c r="AA22" s="14">
        <v>4</v>
      </c>
      <c r="AB22" s="14">
        <v>109.28248888888888</v>
      </c>
      <c r="AC22" s="14">
        <v>0</v>
      </c>
      <c r="AD22" s="14">
        <v>3.67586767578125</v>
      </c>
      <c r="AE22" s="14">
        <v>28.23958914116753</v>
      </c>
      <c r="AF22" s="14">
        <v>141.19794570583767</v>
      </c>
      <c r="AG22" s="16">
        <v>0.3891585558482798</v>
      </c>
      <c r="AH22" s="17"/>
      <c r="AJ22" s="14">
        <v>620</v>
      </c>
      <c r="AK22" s="15">
        <v>0.34444444444444444</v>
      </c>
      <c r="AL22" s="14">
        <v>2</v>
      </c>
      <c r="AM22" s="14">
        <v>62.59366666666667</v>
      </c>
      <c r="AN22" s="14">
        <v>0</v>
      </c>
      <c r="AO22" s="14">
        <v>1.837933837890625</v>
      </c>
      <c r="AP22" s="14">
        <v>7.731791887727856</v>
      </c>
      <c r="AQ22" s="14">
        <v>72.16339239228515</v>
      </c>
      <c r="AR22" s="16">
        <v>0.19889100672187307</v>
      </c>
      <c r="AS22" s="17"/>
      <c r="AU22" s="14">
        <v>312</v>
      </c>
      <c r="AV22" s="15">
        <v>0.17333333333333334</v>
      </c>
      <c r="AW22" s="14">
        <v>3</v>
      </c>
      <c r="AX22" s="14">
        <v>30.790239999999997</v>
      </c>
      <c r="AY22" s="14">
        <v>0</v>
      </c>
      <c r="AZ22" s="14">
        <v>2.75690087890625</v>
      </c>
      <c r="BA22" s="14">
        <v>13.41885655151904</v>
      </c>
      <c r="BB22" s="14">
        <v>46.96599743042529</v>
      </c>
      <c r="BC22" s="16">
        <v>0.12944394936223688</v>
      </c>
      <c r="BD22" s="17"/>
    </row>
    <row r="23" spans="1:56" ht="12.75">
      <c r="A23" s="23" t="s">
        <v>480</v>
      </c>
      <c r="B23" s="13" t="s">
        <v>481</v>
      </c>
      <c r="C23" s="14">
        <v>2000</v>
      </c>
      <c r="D23" s="15">
        <v>1.1111111111111112</v>
      </c>
      <c r="E23" s="14">
        <v>14</v>
      </c>
      <c r="F23" s="14">
        <v>186.93555555555557</v>
      </c>
      <c r="G23" s="14">
        <v>0</v>
      </c>
      <c r="H23" s="14">
        <v>24.979377929687498</v>
      </c>
      <c r="I23" s="14">
        <v>66.945373532286</v>
      </c>
      <c r="J23" s="14">
        <v>278.86030701752907</v>
      </c>
      <c r="K23" s="16"/>
      <c r="L23" s="17"/>
      <c r="N23" s="14">
        <v>880</v>
      </c>
      <c r="O23" s="15">
        <v>0.4888888888888889</v>
      </c>
      <c r="P23" s="14">
        <v>4</v>
      </c>
      <c r="Q23" s="14">
        <v>80.58160000000001</v>
      </c>
      <c r="R23" s="14">
        <v>0</v>
      </c>
      <c r="S23" s="14">
        <v>8.521404296875</v>
      </c>
      <c r="T23" s="14">
        <v>17.820601124922646</v>
      </c>
      <c r="U23" s="14">
        <v>106.92360542179766</v>
      </c>
      <c r="V23" s="16">
        <v>0.3834307096817349</v>
      </c>
      <c r="W23" s="17"/>
      <c r="Y23" s="14">
        <v>760</v>
      </c>
      <c r="Z23" s="15">
        <v>0.4222222222222222</v>
      </c>
      <c r="AA23" s="14">
        <v>5</v>
      </c>
      <c r="AB23" s="14">
        <v>73.95808888888888</v>
      </c>
      <c r="AC23" s="14">
        <v>0</v>
      </c>
      <c r="AD23" s="14">
        <v>7.0176025390625</v>
      </c>
      <c r="AE23" s="14">
        <v>32.39027705383329</v>
      </c>
      <c r="AF23" s="14">
        <v>113.36596848178466</v>
      </c>
      <c r="AG23" s="16">
        <v>0.40653318392372895</v>
      </c>
      <c r="AH23" s="17"/>
      <c r="AJ23" s="14">
        <v>240</v>
      </c>
      <c r="AK23" s="15">
        <v>0.13333333333333333</v>
      </c>
      <c r="AL23" s="14">
        <v>3</v>
      </c>
      <c r="AM23" s="14">
        <v>20.55346666666667</v>
      </c>
      <c r="AN23" s="14">
        <v>0</v>
      </c>
      <c r="AO23" s="14">
        <v>5.1796689453125</v>
      </c>
      <c r="AP23" s="14">
        <v>10.293254398173106</v>
      </c>
      <c r="AQ23" s="14">
        <v>36.02639001015228</v>
      </c>
      <c r="AR23" s="16">
        <v>0.12919153104097986</v>
      </c>
      <c r="AS23" s="17"/>
      <c r="AU23" s="14">
        <v>120</v>
      </c>
      <c r="AV23" s="15">
        <v>0.06666666666666667</v>
      </c>
      <c r="AW23" s="14">
        <v>2</v>
      </c>
      <c r="AX23" s="14">
        <v>11.8424</v>
      </c>
      <c r="AY23" s="14">
        <v>0</v>
      </c>
      <c r="AZ23" s="14">
        <v>4.2607021484375</v>
      </c>
      <c r="BA23" s="14">
        <v>6.441240955356967</v>
      </c>
      <c r="BB23" s="14">
        <v>22.544343103794468</v>
      </c>
      <c r="BC23" s="16">
        <v>0.08084457535355628</v>
      </c>
      <c r="BD23" s="17"/>
    </row>
    <row r="24" spans="1:56" ht="12.75">
      <c r="A24" s="23" t="s">
        <v>482</v>
      </c>
      <c r="B24" s="13" t="s">
        <v>483</v>
      </c>
      <c r="C24" s="14">
        <v>1440</v>
      </c>
      <c r="D24" s="15">
        <v>0.8</v>
      </c>
      <c r="E24" s="14">
        <v>4</v>
      </c>
      <c r="F24" s="14">
        <v>112.19213333333333</v>
      </c>
      <c r="G24" s="14">
        <v>0</v>
      </c>
      <c r="H24" s="14">
        <v>11.80417236328125</v>
      </c>
      <c r="I24" s="14">
        <v>33.60457486797905</v>
      </c>
      <c r="J24" s="14">
        <v>157.60088056459364</v>
      </c>
      <c r="K24" s="16"/>
      <c r="L24" s="17"/>
      <c r="N24" s="14">
        <v>0</v>
      </c>
      <c r="O24" s="15">
        <v>0</v>
      </c>
      <c r="P24" s="14">
        <v>2</v>
      </c>
      <c r="Q24" s="14">
        <v>0</v>
      </c>
      <c r="R24" s="14">
        <v>0</v>
      </c>
      <c r="S24" s="14">
        <v>5.1207021484375</v>
      </c>
      <c r="T24" s="14">
        <v>0</v>
      </c>
      <c r="U24" s="14">
        <v>5.1207021484375</v>
      </c>
      <c r="V24" s="16">
        <v>0.03249158335976905</v>
      </c>
      <c r="W24" s="17"/>
      <c r="Y24" s="14">
        <v>1400</v>
      </c>
      <c r="Z24" s="15">
        <v>0.7777777777777778</v>
      </c>
      <c r="AA24" s="14">
        <v>2</v>
      </c>
      <c r="AB24" s="14">
        <v>109.28844444444444</v>
      </c>
      <c r="AC24" s="14">
        <v>0</v>
      </c>
      <c r="AD24" s="14">
        <v>6.68347021484375</v>
      </c>
      <c r="AE24" s="14">
        <v>32.47213624284999</v>
      </c>
      <c r="AF24" s="14">
        <v>148.44405090213817</v>
      </c>
      <c r="AG24" s="16">
        <v>0.9418986135759407</v>
      </c>
      <c r="AH24" s="17"/>
      <c r="AJ24" s="14">
        <v>40</v>
      </c>
      <c r="AK24" s="15">
        <v>0.022222222222222223</v>
      </c>
      <c r="AL24" s="14">
        <v>0</v>
      </c>
      <c r="AM24" s="14">
        <v>2.903688888888889</v>
      </c>
      <c r="AN24" s="14">
        <v>0</v>
      </c>
      <c r="AO24" s="14">
        <v>0</v>
      </c>
      <c r="AP24" s="14">
        <v>1.132438625129064</v>
      </c>
      <c r="AQ24" s="14">
        <v>4.036127514017953</v>
      </c>
      <c r="AR24" s="16">
        <v>0.025609803064290133</v>
      </c>
      <c r="AS24" s="17"/>
      <c r="AU24" s="14">
        <v>0</v>
      </c>
      <c r="AV24" s="15">
        <v>0</v>
      </c>
      <c r="AW24" s="14">
        <v>0</v>
      </c>
      <c r="AX24" s="14">
        <v>0</v>
      </c>
      <c r="AY24" s="14">
        <v>0</v>
      </c>
      <c r="AZ24" s="14">
        <v>0</v>
      </c>
      <c r="BA24" s="14">
        <v>0</v>
      </c>
      <c r="BB24" s="14">
        <v>0</v>
      </c>
      <c r="BC24" s="16">
        <v>0</v>
      </c>
      <c r="BD24" s="17"/>
    </row>
    <row r="25" spans="1:56" ht="12.75">
      <c r="A25" s="23">
        <v>3.4</v>
      </c>
      <c r="B25" s="13" t="s">
        <v>484</v>
      </c>
      <c r="C25" s="14"/>
      <c r="D25" s="15"/>
      <c r="E25" s="14"/>
      <c r="F25" s="14"/>
      <c r="G25" s="14"/>
      <c r="H25" s="14"/>
      <c r="I25" s="14"/>
      <c r="J25" s="14"/>
      <c r="K25" s="16"/>
      <c r="L25" s="17"/>
      <c r="N25" s="14"/>
      <c r="O25" s="15"/>
      <c r="P25" s="14"/>
      <c r="Q25" s="14"/>
      <c r="R25" s="14"/>
      <c r="S25" s="14"/>
      <c r="T25" s="14"/>
      <c r="U25" s="14"/>
      <c r="V25" s="16"/>
      <c r="W25" s="17"/>
      <c r="Y25" s="14"/>
      <c r="Z25" s="15"/>
      <c r="AA25" s="14"/>
      <c r="AB25" s="14"/>
      <c r="AC25" s="14"/>
      <c r="AD25" s="14"/>
      <c r="AE25" s="14"/>
      <c r="AF25" s="14"/>
      <c r="AG25" s="16"/>
      <c r="AH25" s="17"/>
      <c r="AJ25" s="14"/>
      <c r="AK25" s="15"/>
      <c r="AL25" s="14"/>
      <c r="AM25" s="14"/>
      <c r="AN25" s="14"/>
      <c r="AO25" s="14"/>
      <c r="AP25" s="14"/>
      <c r="AQ25" s="14"/>
      <c r="AR25" s="16"/>
      <c r="AS25" s="17"/>
      <c r="AU25" s="14"/>
      <c r="AV25" s="15"/>
      <c r="AW25" s="14"/>
      <c r="AX25" s="14"/>
      <c r="AY25" s="14"/>
      <c r="AZ25" s="14"/>
      <c r="BA25" s="14"/>
      <c r="BB25" s="14"/>
      <c r="BC25" s="16"/>
      <c r="BD25" s="17"/>
    </row>
    <row r="26" spans="1:56" ht="12.75">
      <c r="A26" s="23" t="s">
        <v>485</v>
      </c>
      <c r="B26" s="13" t="s">
        <v>486</v>
      </c>
      <c r="C26" s="14">
        <v>1016</v>
      </c>
      <c r="D26" s="15">
        <v>0.5644444444444444</v>
      </c>
      <c r="E26" s="14">
        <v>0</v>
      </c>
      <c r="F26" s="14">
        <v>94.81241777777777</v>
      </c>
      <c r="G26" s="14">
        <v>0</v>
      </c>
      <c r="H26" s="14">
        <v>0</v>
      </c>
      <c r="I26" s="14">
        <v>28.443726463585435</v>
      </c>
      <c r="J26" s="14">
        <v>123.2561442413632</v>
      </c>
      <c r="K26" s="16"/>
      <c r="L26" s="17"/>
      <c r="N26" s="14">
        <v>264</v>
      </c>
      <c r="O26" s="15">
        <v>0.14666666666666667</v>
      </c>
      <c r="P26" s="14">
        <v>0</v>
      </c>
      <c r="Q26" s="14">
        <v>24.97344888888889</v>
      </c>
      <c r="R26" s="14">
        <v>0</v>
      </c>
      <c r="S26" s="14">
        <v>0</v>
      </c>
      <c r="T26" s="14">
        <v>7.492034964373376</v>
      </c>
      <c r="U26" s="14">
        <v>32.46548385326226</v>
      </c>
      <c r="V26" s="16">
        <v>0.2633985027933987</v>
      </c>
      <c r="W26" s="17"/>
      <c r="Y26" s="14">
        <v>304</v>
      </c>
      <c r="Z26" s="15">
        <v>0.1688888888888889</v>
      </c>
      <c r="AA26" s="14">
        <v>0</v>
      </c>
      <c r="AB26" s="14">
        <v>27.832071111111112</v>
      </c>
      <c r="AC26" s="14">
        <v>0</v>
      </c>
      <c r="AD26" s="14">
        <v>0</v>
      </c>
      <c r="AE26" s="14">
        <v>8.349621665117477</v>
      </c>
      <c r="AF26" s="14">
        <v>36.18169277622859</v>
      </c>
      <c r="AG26" s="16">
        <v>0.293548796280506</v>
      </c>
      <c r="AH26" s="17"/>
      <c r="AJ26" s="14">
        <v>304</v>
      </c>
      <c r="AK26" s="15">
        <v>0.1688888888888889</v>
      </c>
      <c r="AL26" s="14">
        <v>0</v>
      </c>
      <c r="AM26" s="14">
        <v>27.832071111111112</v>
      </c>
      <c r="AN26" s="14">
        <v>0</v>
      </c>
      <c r="AO26" s="14">
        <v>0</v>
      </c>
      <c r="AP26" s="14">
        <v>8.349621665117477</v>
      </c>
      <c r="AQ26" s="14">
        <v>36.18169277622859</v>
      </c>
      <c r="AR26" s="16">
        <v>0.293548796280506</v>
      </c>
      <c r="AS26" s="17"/>
      <c r="AU26" s="14">
        <v>144</v>
      </c>
      <c r="AV26" s="15">
        <v>0.08</v>
      </c>
      <c r="AW26" s="14">
        <v>0</v>
      </c>
      <c r="AX26" s="14">
        <v>14.174826666666668</v>
      </c>
      <c r="AY26" s="14">
        <v>0</v>
      </c>
      <c r="AZ26" s="14">
        <v>0</v>
      </c>
      <c r="BA26" s="14">
        <v>4.252448168977102</v>
      </c>
      <c r="BB26" s="14">
        <v>18.42727483564377</v>
      </c>
      <c r="BC26" s="16">
        <v>0.14950390464558935</v>
      </c>
      <c r="BD26" s="17"/>
    </row>
    <row r="27" spans="1:56" ht="12.75">
      <c r="A27" s="23" t="s">
        <v>487</v>
      </c>
      <c r="B27" s="13" t="s">
        <v>488</v>
      </c>
      <c r="C27" s="14">
        <v>310</v>
      </c>
      <c r="D27" s="15">
        <v>0.17222222222222222</v>
      </c>
      <c r="E27" s="14">
        <v>0</v>
      </c>
      <c r="F27" s="14">
        <v>30.418233333333333</v>
      </c>
      <c r="G27" s="14">
        <v>0</v>
      </c>
      <c r="H27" s="14">
        <v>0</v>
      </c>
      <c r="I27" s="14">
        <v>9.1254703626136</v>
      </c>
      <c r="J27" s="14">
        <v>39.54370369594693</v>
      </c>
      <c r="K27" s="16"/>
      <c r="L27" s="17"/>
      <c r="N27" s="14">
        <v>80</v>
      </c>
      <c r="O27" s="15">
        <v>0.044444444444444446</v>
      </c>
      <c r="P27" s="14">
        <v>0</v>
      </c>
      <c r="Q27" s="14">
        <v>7.849866666666667</v>
      </c>
      <c r="R27" s="14">
        <v>0</v>
      </c>
      <c r="S27" s="14">
        <v>0</v>
      </c>
      <c r="T27" s="14">
        <v>2.354960093577703</v>
      </c>
      <c r="U27" s="14">
        <v>10.20482676024437</v>
      </c>
      <c r="V27" s="16">
        <v>0.25806451612903225</v>
      </c>
      <c r="W27" s="17"/>
      <c r="Y27" s="14">
        <v>200</v>
      </c>
      <c r="Z27" s="15">
        <v>0.1111111111111111</v>
      </c>
      <c r="AA27" s="14">
        <v>0</v>
      </c>
      <c r="AB27" s="14">
        <v>19.624666666666666</v>
      </c>
      <c r="AC27" s="14">
        <v>0</v>
      </c>
      <c r="AD27" s="14">
        <v>0</v>
      </c>
      <c r="AE27" s="14">
        <v>5.887400233944257</v>
      </c>
      <c r="AF27" s="14">
        <v>25.512066900610925</v>
      </c>
      <c r="AG27" s="16">
        <v>0.6451612903225807</v>
      </c>
      <c r="AH27" s="17"/>
      <c r="AJ27" s="14">
        <v>30</v>
      </c>
      <c r="AK27" s="15">
        <v>0.016666666666666666</v>
      </c>
      <c r="AL27" s="14">
        <v>0</v>
      </c>
      <c r="AM27" s="14">
        <v>2.9436999999999998</v>
      </c>
      <c r="AN27" s="14">
        <v>0</v>
      </c>
      <c r="AO27" s="14">
        <v>0</v>
      </c>
      <c r="AP27" s="14">
        <v>0.8831100350916385</v>
      </c>
      <c r="AQ27" s="14">
        <v>3.826810035091638</v>
      </c>
      <c r="AR27" s="16">
        <v>0.09677419354838708</v>
      </c>
      <c r="AS27" s="17"/>
      <c r="AU27" s="14">
        <v>0</v>
      </c>
      <c r="AV27" s="15">
        <v>0</v>
      </c>
      <c r="AW27" s="14">
        <v>0</v>
      </c>
      <c r="AX27" s="14">
        <v>0</v>
      </c>
      <c r="AY27" s="14">
        <v>0</v>
      </c>
      <c r="AZ27" s="14">
        <v>0</v>
      </c>
      <c r="BA27" s="14">
        <v>0</v>
      </c>
      <c r="BB27" s="14">
        <v>0</v>
      </c>
      <c r="BC27" s="16">
        <v>0</v>
      </c>
      <c r="BD27" s="17"/>
    </row>
    <row r="28" spans="1:56" ht="12.75">
      <c r="A28" s="23" t="s">
        <v>489</v>
      </c>
      <c r="B28" s="13" t="s">
        <v>490</v>
      </c>
      <c r="C28" s="14">
        <v>830</v>
      </c>
      <c r="D28" s="15">
        <v>0.46111111111111114</v>
      </c>
      <c r="E28" s="14">
        <v>0</v>
      </c>
      <c r="F28" s="14">
        <v>102.04826666666666</v>
      </c>
      <c r="G28" s="14">
        <v>0</v>
      </c>
      <c r="H28" s="14">
        <v>0</v>
      </c>
      <c r="I28" s="14">
        <v>22.45061854501565</v>
      </c>
      <c r="J28" s="14">
        <v>124.4988852116823</v>
      </c>
      <c r="K28" s="16"/>
      <c r="L28" s="17"/>
      <c r="N28" s="14">
        <v>304</v>
      </c>
      <c r="O28" s="15">
        <v>0.1688888888888889</v>
      </c>
      <c r="P28" s="14">
        <v>0</v>
      </c>
      <c r="Q28" s="14">
        <v>29.829493333333332</v>
      </c>
      <c r="R28" s="14">
        <v>0</v>
      </c>
      <c r="S28" s="14">
        <v>0</v>
      </c>
      <c r="T28" s="14">
        <v>6.562488497773805</v>
      </c>
      <c r="U28" s="14">
        <v>36.39198183110714</v>
      </c>
      <c r="V28" s="16">
        <v>0.2923076923076923</v>
      </c>
      <c r="W28" s="17"/>
      <c r="Y28" s="14">
        <v>320</v>
      </c>
      <c r="Z28" s="15">
        <v>0.17777777777777778</v>
      </c>
      <c r="AA28" s="14">
        <v>0</v>
      </c>
      <c r="AB28" s="14">
        <v>31.39946666666667</v>
      </c>
      <c r="AC28" s="14">
        <v>0</v>
      </c>
      <c r="AD28" s="14">
        <v>0</v>
      </c>
      <c r="AE28" s="14">
        <v>6.907882629235585</v>
      </c>
      <c r="AF28" s="14">
        <v>38.307349295902256</v>
      </c>
      <c r="AG28" s="16">
        <v>0.30769230769230776</v>
      </c>
      <c r="AH28" s="17"/>
      <c r="AJ28" s="14">
        <v>240</v>
      </c>
      <c r="AK28" s="15">
        <v>0.13333333333333333</v>
      </c>
      <c r="AL28" s="14">
        <v>0</v>
      </c>
      <c r="AM28" s="14">
        <v>23.549599999999998</v>
      </c>
      <c r="AN28" s="14">
        <v>0</v>
      </c>
      <c r="AO28" s="14">
        <v>0</v>
      </c>
      <c r="AP28" s="14">
        <v>5.180911971926689</v>
      </c>
      <c r="AQ28" s="14">
        <v>28.73051197192669</v>
      </c>
      <c r="AR28" s="16">
        <v>0.23076923076923078</v>
      </c>
      <c r="AS28" s="17"/>
      <c r="AU28" s="14">
        <v>176</v>
      </c>
      <c r="AV28" s="15">
        <v>0.09777777777777778</v>
      </c>
      <c r="AW28" s="14">
        <v>0</v>
      </c>
      <c r="AX28" s="14">
        <v>17.269706666666664</v>
      </c>
      <c r="AY28" s="14">
        <v>0</v>
      </c>
      <c r="AZ28" s="14">
        <v>0</v>
      </c>
      <c r="BA28" s="14">
        <v>3.7993354460795716</v>
      </c>
      <c r="BB28" s="14">
        <v>21.069042112746235</v>
      </c>
      <c r="BC28" s="16">
        <v>0.1692307692307692</v>
      </c>
      <c r="BD28" s="17"/>
    </row>
    <row r="29" spans="1:56" ht="12.75">
      <c r="A29" s="23" t="s">
        <v>491</v>
      </c>
      <c r="B29" s="13" t="s">
        <v>492</v>
      </c>
      <c r="C29" s="14">
        <v>776</v>
      </c>
      <c r="D29" s="15">
        <v>0.4311111111111111</v>
      </c>
      <c r="E29" s="14">
        <v>4</v>
      </c>
      <c r="F29" s="14">
        <v>66.95250666666666</v>
      </c>
      <c r="G29" s="14">
        <v>0</v>
      </c>
      <c r="H29" s="14">
        <v>13.3669404296875</v>
      </c>
      <c r="I29" s="14">
        <v>14.457501051833203</v>
      </c>
      <c r="J29" s="14">
        <v>94.77694814818737</v>
      </c>
      <c r="K29" s="16"/>
      <c r="L29" s="17"/>
      <c r="N29" s="14">
        <v>224</v>
      </c>
      <c r="O29" s="15">
        <v>0.12444444444444444</v>
      </c>
      <c r="P29" s="14">
        <v>1</v>
      </c>
      <c r="Q29" s="14">
        <v>17.894648888888888</v>
      </c>
      <c r="R29" s="14">
        <v>0</v>
      </c>
      <c r="S29" s="14">
        <v>3.341735107421875</v>
      </c>
      <c r="T29" s="14">
        <v>3.822549271230393</v>
      </c>
      <c r="U29" s="14">
        <v>25.058933267541157</v>
      </c>
      <c r="V29" s="16">
        <v>0.2643990311690619</v>
      </c>
      <c r="W29" s="17"/>
      <c r="Y29" s="14">
        <v>360</v>
      </c>
      <c r="Z29" s="15">
        <v>0.2</v>
      </c>
      <c r="AA29" s="14">
        <v>1</v>
      </c>
      <c r="AB29" s="14">
        <v>30.218177777777775</v>
      </c>
      <c r="AC29" s="14">
        <v>0</v>
      </c>
      <c r="AD29" s="14">
        <v>3.341735107421875</v>
      </c>
      <c r="AE29" s="14">
        <v>6.040784559375139</v>
      </c>
      <c r="AF29" s="14">
        <v>39.60069744457479</v>
      </c>
      <c r="AG29" s="16">
        <v>0.41783047690729175</v>
      </c>
      <c r="AH29" s="17"/>
      <c r="AJ29" s="14">
        <v>96</v>
      </c>
      <c r="AK29" s="15">
        <v>0.05333333333333334</v>
      </c>
      <c r="AL29" s="14">
        <v>1</v>
      </c>
      <c r="AM29" s="14">
        <v>9.41984</v>
      </c>
      <c r="AN29" s="14">
        <v>0</v>
      </c>
      <c r="AO29" s="14">
        <v>3.341735107421875</v>
      </c>
      <c r="AP29" s="14">
        <v>2.2970836106138357</v>
      </c>
      <c r="AQ29" s="14">
        <v>15.058658718035712</v>
      </c>
      <c r="AR29" s="16">
        <v>0.15888524596182318</v>
      </c>
      <c r="AS29" s="17"/>
      <c r="AU29" s="14">
        <v>96</v>
      </c>
      <c r="AV29" s="15">
        <v>0.05333333333333334</v>
      </c>
      <c r="AW29" s="14">
        <v>1</v>
      </c>
      <c r="AX29" s="14">
        <v>9.41984</v>
      </c>
      <c r="AY29" s="14">
        <v>0</v>
      </c>
      <c r="AZ29" s="14">
        <v>3.341735107421875</v>
      </c>
      <c r="BA29" s="14">
        <v>2.2970836106138357</v>
      </c>
      <c r="BB29" s="14">
        <v>15.058658718035712</v>
      </c>
      <c r="BC29" s="16">
        <v>0.15888524596182318</v>
      </c>
      <c r="BD29" s="17"/>
    </row>
    <row r="30" spans="1:56" ht="12.75">
      <c r="A30" s="13">
        <v>3.5</v>
      </c>
      <c r="B30" s="13" t="s">
        <v>493</v>
      </c>
      <c r="C30" s="14">
        <v>524</v>
      </c>
      <c r="D30" s="15">
        <v>0.2911111111111111</v>
      </c>
      <c r="E30" s="14">
        <v>0</v>
      </c>
      <c r="F30" s="14">
        <v>45.13433555555555</v>
      </c>
      <c r="G30" s="14">
        <v>0</v>
      </c>
      <c r="H30" s="14">
        <v>0</v>
      </c>
      <c r="I30" s="14">
        <v>3.197462936534799</v>
      </c>
      <c r="J30" s="14">
        <v>48.33179849209035</v>
      </c>
      <c r="K30" s="16"/>
      <c r="L30" s="17"/>
      <c r="N30" s="14">
        <v>284</v>
      </c>
      <c r="O30" s="15">
        <v>0.15777777777777777</v>
      </c>
      <c r="P30" s="14">
        <v>0</v>
      </c>
      <c r="Q30" s="14">
        <v>24.612257777777778</v>
      </c>
      <c r="R30" s="14">
        <v>0</v>
      </c>
      <c r="S30" s="14">
        <v>0</v>
      </c>
      <c r="T30" s="14">
        <v>1.2306129072264498</v>
      </c>
      <c r="U30" s="14">
        <v>25.84287068500423</v>
      </c>
      <c r="V30" s="16">
        <v>0.5346970626229334</v>
      </c>
      <c r="W30" s="17"/>
      <c r="Y30" s="14">
        <v>140</v>
      </c>
      <c r="Z30" s="15">
        <v>0.07777777777777778</v>
      </c>
      <c r="AA30" s="14">
        <v>0</v>
      </c>
      <c r="AB30" s="14">
        <v>11.505977777777776</v>
      </c>
      <c r="AC30" s="14">
        <v>0</v>
      </c>
      <c r="AD30" s="14">
        <v>0</v>
      </c>
      <c r="AE30" s="14">
        <v>1.1505977949230206</v>
      </c>
      <c r="AF30" s="14">
        <v>12.656575572700797</v>
      </c>
      <c r="AG30" s="16">
        <v>0.2618684999849961</v>
      </c>
      <c r="AH30" s="17"/>
      <c r="AJ30" s="14">
        <v>80</v>
      </c>
      <c r="AK30" s="15">
        <v>0.044444444444444446</v>
      </c>
      <c r="AL30" s="14">
        <v>0</v>
      </c>
      <c r="AM30" s="14">
        <v>7.308944444444444</v>
      </c>
      <c r="AN30" s="14">
        <v>0</v>
      </c>
      <c r="AO30" s="14">
        <v>0</v>
      </c>
      <c r="AP30" s="14">
        <v>0.7308944553356204</v>
      </c>
      <c r="AQ30" s="14">
        <v>8.039838899780065</v>
      </c>
      <c r="AR30" s="16">
        <v>0.16634677687601074</v>
      </c>
      <c r="AS30" s="17"/>
      <c r="AU30" s="14">
        <v>20</v>
      </c>
      <c r="AV30" s="15">
        <v>0.011111111111111112</v>
      </c>
      <c r="AW30" s="14">
        <v>0</v>
      </c>
      <c r="AX30" s="14">
        <v>1.7071555555555555</v>
      </c>
      <c r="AY30" s="14">
        <v>0</v>
      </c>
      <c r="AZ30" s="14">
        <v>0</v>
      </c>
      <c r="BA30" s="14">
        <v>0.08535777904970779</v>
      </c>
      <c r="BB30" s="14">
        <v>1.7925133346052633</v>
      </c>
      <c r="BC30" s="16">
        <v>0.03708766051605991</v>
      </c>
      <c r="BD30" s="17"/>
    </row>
    <row r="31" spans="1:56" ht="12.75">
      <c r="A31" s="13">
        <v>3.6</v>
      </c>
      <c r="B31" s="13" t="s">
        <v>494</v>
      </c>
      <c r="C31" s="14">
        <v>1672</v>
      </c>
      <c r="D31" s="15">
        <v>0.9288888888888889</v>
      </c>
      <c r="E31" s="14">
        <v>14</v>
      </c>
      <c r="F31" s="14">
        <v>140.77784000000003</v>
      </c>
      <c r="G31" s="14">
        <v>0</v>
      </c>
      <c r="H31" s="14">
        <v>28.26214599609375</v>
      </c>
      <c r="I31" s="14">
        <v>31.166834951658714</v>
      </c>
      <c r="J31" s="14">
        <v>200.20682094775248</v>
      </c>
      <c r="K31" s="16"/>
      <c r="L31" s="17"/>
      <c r="N31" s="14">
        <v>280</v>
      </c>
      <c r="O31" s="15">
        <v>0.15555555555555556</v>
      </c>
      <c r="P31" s="14">
        <v>4</v>
      </c>
      <c r="Q31" s="14">
        <v>22.98105777777778</v>
      </c>
      <c r="R31" s="14">
        <v>0</v>
      </c>
      <c r="S31" s="14">
        <v>8.521404296875</v>
      </c>
      <c r="T31" s="14">
        <v>4.41034470922832</v>
      </c>
      <c r="U31" s="14">
        <v>35.9128067838811</v>
      </c>
      <c r="V31" s="16">
        <v>0.17937853772351336</v>
      </c>
      <c r="W31" s="17"/>
      <c r="Y31" s="14">
        <v>832</v>
      </c>
      <c r="Z31" s="15">
        <v>0.4622222222222222</v>
      </c>
      <c r="AA31" s="14">
        <v>4</v>
      </c>
      <c r="AB31" s="14">
        <v>71.4261688888889</v>
      </c>
      <c r="AC31" s="14">
        <v>0</v>
      </c>
      <c r="AD31" s="14">
        <v>6.0986357421875</v>
      </c>
      <c r="AE31" s="14">
        <v>10.853472694559079</v>
      </c>
      <c r="AF31" s="14">
        <v>88.37827732563547</v>
      </c>
      <c r="AG31" s="16">
        <v>0.4414348967096348</v>
      </c>
      <c r="AH31" s="17"/>
      <c r="AJ31" s="14">
        <v>416</v>
      </c>
      <c r="AK31" s="15">
        <v>0.2311111111111111</v>
      </c>
      <c r="AL31" s="14">
        <v>4</v>
      </c>
      <c r="AM31" s="14">
        <v>35.91733333333333</v>
      </c>
      <c r="AN31" s="14">
        <v>0</v>
      </c>
      <c r="AO31" s="14">
        <v>6.0986357421875</v>
      </c>
      <c r="AP31" s="14">
        <v>10.503992268880207</v>
      </c>
      <c r="AQ31" s="14">
        <v>52.51996134440104</v>
      </c>
      <c r="AR31" s="16">
        <v>0.26232853154442254</v>
      </c>
      <c r="AS31" s="17"/>
      <c r="AU31" s="14">
        <v>144</v>
      </c>
      <c r="AV31" s="15">
        <v>0.08</v>
      </c>
      <c r="AW31" s="14">
        <v>2</v>
      </c>
      <c r="AX31" s="14">
        <v>10.45328</v>
      </c>
      <c r="AY31" s="14">
        <v>0</v>
      </c>
      <c r="AZ31" s="14">
        <v>7.54347021484375</v>
      </c>
      <c r="BA31" s="14">
        <v>5.399025278991106</v>
      </c>
      <c r="BB31" s="14">
        <v>23.395775493834854</v>
      </c>
      <c r="BC31" s="16">
        <v>0.11685803402242922</v>
      </c>
      <c r="BD31" s="17"/>
    </row>
    <row r="32" spans="1:56" ht="12.75">
      <c r="A32" s="13">
        <v>3.7</v>
      </c>
      <c r="B32" s="13" t="s">
        <v>495</v>
      </c>
      <c r="C32" s="14">
        <v>684</v>
      </c>
      <c r="D32" s="15">
        <v>0.38</v>
      </c>
      <c r="E32" s="14">
        <v>0</v>
      </c>
      <c r="F32" s="14">
        <v>33.928686666666664</v>
      </c>
      <c r="G32" s="14">
        <v>0</v>
      </c>
      <c r="H32" s="14">
        <v>0</v>
      </c>
      <c r="I32" s="14">
        <v>13.910761411994894</v>
      </c>
      <c r="J32" s="14">
        <v>47.83944807866156</v>
      </c>
      <c r="K32" s="16"/>
      <c r="L32" s="17"/>
      <c r="N32" s="14">
        <v>218</v>
      </c>
      <c r="O32" s="15">
        <v>0.12111111111111111</v>
      </c>
      <c r="P32" s="14">
        <v>0</v>
      </c>
      <c r="Q32" s="14">
        <v>11.622043333333334</v>
      </c>
      <c r="R32" s="14">
        <v>0</v>
      </c>
      <c r="S32" s="14">
        <v>0</v>
      </c>
      <c r="T32" s="14">
        <v>4.765037725103</v>
      </c>
      <c r="U32" s="14">
        <v>16.387081058436333</v>
      </c>
      <c r="V32" s="16">
        <v>0.3425432716425019</v>
      </c>
      <c r="W32" s="17"/>
      <c r="Y32" s="14">
        <v>180</v>
      </c>
      <c r="Z32" s="15">
        <v>0.1</v>
      </c>
      <c r="AA32" s="14">
        <v>0</v>
      </c>
      <c r="AB32" s="14">
        <v>8.616299999999999</v>
      </c>
      <c r="AC32" s="14">
        <v>0</v>
      </c>
      <c r="AD32" s="14">
        <v>0</v>
      </c>
      <c r="AE32" s="14">
        <v>3.53268296918571</v>
      </c>
      <c r="AF32" s="14">
        <v>12.14898296918571</v>
      </c>
      <c r="AG32" s="16">
        <v>0.2539532427131967</v>
      </c>
      <c r="AH32" s="17"/>
      <c r="AJ32" s="14">
        <v>208</v>
      </c>
      <c r="AK32" s="15">
        <v>0.11555555555555555</v>
      </c>
      <c r="AL32" s="14">
        <v>0</v>
      </c>
      <c r="AM32" s="14">
        <v>9.956613333333333</v>
      </c>
      <c r="AN32" s="14">
        <v>0</v>
      </c>
      <c r="AO32" s="14">
        <v>0</v>
      </c>
      <c r="AP32" s="14">
        <v>4.082211431059043</v>
      </c>
      <c r="AQ32" s="14">
        <v>14.038824764392377</v>
      </c>
      <c r="AR32" s="16">
        <v>0.2934570804685828</v>
      </c>
      <c r="AS32" s="17"/>
      <c r="AU32" s="14">
        <v>78</v>
      </c>
      <c r="AV32" s="15">
        <v>0.043333333333333335</v>
      </c>
      <c r="AW32" s="14">
        <v>0</v>
      </c>
      <c r="AX32" s="14">
        <v>3.73373</v>
      </c>
      <c r="AY32" s="14">
        <v>0</v>
      </c>
      <c r="AZ32" s="14">
        <v>0</v>
      </c>
      <c r="BA32" s="14">
        <v>1.5308292866471411</v>
      </c>
      <c r="BB32" s="14">
        <v>5.264559286647141</v>
      </c>
      <c r="BC32" s="16">
        <v>0.11004640517571856</v>
      </c>
      <c r="BD32" s="17"/>
    </row>
    <row r="33" spans="1:56" ht="12.75">
      <c r="A33" s="13">
        <v>3.8</v>
      </c>
      <c r="B33" s="13" t="s">
        <v>496</v>
      </c>
      <c r="C33" s="14">
        <v>253</v>
      </c>
      <c r="D33" s="15">
        <v>0.14055555555555554</v>
      </c>
      <c r="E33" s="14">
        <v>0</v>
      </c>
      <c r="F33" s="14">
        <v>13.115788333333334</v>
      </c>
      <c r="G33" s="14">
        <v>0</v>
      </c>
      <c r="H33" s="14">
        <v>0</v>
      </c>
      <c r="I33" s="14">
        <v>1.8362103744842857</v>
      </c>
      <c r="J33" s="14">
        <v>14.95199870781762</v>
      </c>
      <c r="K33" s="16"/>
      <c r="L33" s="17"/>
      <c r="N33" s="14">
        <v>20</v>
      </c>
      <c r="O33" s="15">
        <v>0.011111111111111112</v>
      </c>
      <c r="P33" s="14">
        <v>0</v>
      </c>
      <c r="Q33" s="14">
        <v>1.9624666666666668</v>
      </c>
      <c r="R33" s="14">
        <v>0</v>
      </c>
      <c r="S33" s="14">
        <v>0</v>
      </c>
      <c r="T33" s="14">
        <v>0.2747453345030546</v>
      </c>
      <c r="U33" s="14">
        <v>2.2372120011697216</v>
      </c>
      <c r="V33" s="16">
        <v>0.14962628374225315</v>
      </c>
      <c r="W33" s="17"/>
      <c r="Y33" s="14">
        <v>90</v>
      </c>
      <c r="Z33" s="15">
        <v>0.05</v>
      </c>
      <c r="AA33" s="14">
        <v>0</v>
      </c>
      <c r="AB33" s="14">
        <v>4.3081499999999995</v>
      </c>
      <c r="AC33" s="14">
        <v>0</v>
      </c>
      <c r="AD33" s="14">
        <v>0</v>
      </c>
      <c r="AE33" s="14">
        <v>0.6031410025678574</v>
      </c>
      <c r="AF33" s="14">
        <v>4.911291002567857</v>
      </c>
      <c r="AG33" s="16">
        <v>0.3284705341768121</v>
      </c>
      <c r="AH33" s="17"/>
      <c r="AJ33" s="14">
        <v>104</v>
      </c>
      <c r="AK33" s="15">
        <v>0.057777777777777775</v>
      </c>
      <c r="AL33" s="14">
        <v>0</v>
      </c>
      <c r="AM33" s="14">
        <v>4.978306666666667</v>
      </c>
      <c r="AN33" s="14">
        <v>0</v>
      </c>
      <c r="AO33" s="14">
        <v>0</v>
      </c>
      <c r="AP33" s="14">
        <v>0.6969629363006353</v>
      </c>
      <c r="AQ33" s="14">
        <v>5.675269602967302</v>
      </c>
      <c r="AR33" s="16">
        <v>0.3795659506043162</v>
      </c>
      <c r="AS33" s="17"/>
      <c r="AU33" s="14">
        <v>39</v>
      </c>
      <c r="AV33" s="15">
        <v>0.021666666666666667</v>
      </c>
      <c r="AW33" s="14">
        <v>0</v>
      </c>
      <c r="AX33" s="14">
        <v>1.866865</v>
      </c>
      <c r="AY33" s="14">
        <v>0</v>
      </c>
      <c r="AZ33" s="14">
        <v>0</v>
      </c>
      <c r="BA33" s="14">
        <v>0.26136110111273825</v>
      </c>
      <c r="BB33" s="14">
        <v>2.1282261011127384</v>
      </c>
      <c r="BC33" s="16">
        <v>0.1423372314766186</v>
      </c>
      <c r="BD33" s="17"/>
    </row>
    <row r="34" spans="1:56" ht="12.75">
      <c r="A34" s="24">
        <v>3.9</v>
      </c>
      <c r="B34" s="13" t="s">
        <v>497</v>
      </c>
      <c r="C34" s="14">
        <v>2000</v>
      </c>
      <c r="D34" s="15">
        <v>1.1111111111111112</v>
      </c>
      <c r="E34" s="14">
        <v>1</v>
      </c>
      <c r="F34" s="14">
        <v>196.69733333333335</v>
      </c>
      <c r="G34" s="14">
        <v>262.65</v>
      </c>
      <c r="H34" s="14">
        <v>3.771735107421875</v>
      </c>
      <c r="I34" s="14">
        <v>32.494761904616716</v>
      </c>
      <c r="J34" s="14">
        <v>495.6138303453719</v>
      </c>
      <c r="K34" s="16"/>
      <c r="L34" s="17"/>
      <c r="N34" s="14">
        <v>700</v>
      </c>
      <c r="O34" s="15">
        <v>0.3888888888888889</v>
      </c>
      <c r="P34" s="14">
        <v>0</v>
      </c>
      <c r="Q34" s="14">
        <v>71.35211111111111</v>
      </c>
      <c r="R34" s="14">
        <v>108.15</v>
      </c>
      <c r="S34" s="14">
        <v>0</v>
      </c>
      <c r="T34" s="14">
        <v>8.97510568929505</v>
      </c>
      <c r="U34" s="14">
        <v>188.47721680040615</v>
      </c>
      <c r="V34" s="16">
        <v>0.3802904706453904</v>
      </c>
      <c r="W34" s="17"/>
      <c r="Y34" s="14">
        <v>800</v>
      </c>
      <c r="Z34" s="15">
        <v>0.4444444444444444</v>
      </c>
      <c r="AA34" s="14">
        <v>1</v>
      </c>
      <c r="AB34" s="14">
        <v>83.83022222222222</v>
      </c>
      <c r="AC34" s="14">
        <v>154.5</v>
      </c>
      <c r="AD34" s="14">
        <v>3.771735107421875</v>
      </c>
      <c r="AE34" s="14">
        <v>19.36815615345949</v>
      </c>
      <c r="AF34" s="14">
        <v>261.4701134831036</v>
      </c>
      <c r="AG34" s="16">
        <v>0.5275682345282745</v>
      </c>
      <c r="AH34" s="17"/>
      <c r="AJ34" s="14">
        <v>500</v>
      </c>
      <c r="AK34" s="15">
        <v>0.2777777777777778</v>
      </c>
      <c r="AL34" s="14">
        <v>0</v>
      </c>
      <c r="AM34" s="14">
        <v>41.515</v>
      </c>
      <c r="AN34" s="14">
        <v>0</v>
      </c>
      <c r="AO34" s="14">
        <v>0</v>
      </c>
      <c r="AP34" s="14">
        <v>4.151500061862171</v>
      </c>
      <c r="AQ34" s="14">
        <v>45.66650006186217</v>
      </c>
      <c r="AR34" s="16">
        <v>0.09214129482633517</v>
      </c>
      <c r="AS34" s="17"/>
      <c r="AU34" s="14">
        <v>0</v>
      </c>
      <c r="AV34" s="15">
        <v>0</v>
      </c>
      <c r="AW34" s="14">
        <v>0</v>
      </c>
      <c r="AX34" s="14">
        <v>0</v>
      </c>
      <c r="AY34" s="14">
        <v>0</v>
      </c>
      <c r="AZ34" s="14">
        <v>0</v>
      </c>
      <c r="BA34" s="14">
        <v>0</v>
      </c>
      <c r="BB34" s="14">
        <v>0</v>
      </c>
      <c r="BC34" s="16">
        <v>0</v>
      </c>
      <c r="BD34" s="17"/>
    </row>
    <row r="35" spans="1:56" ht="12.75">
      <c r="A35" s="24" t="s">
        <v>498</v>
      </c>
      <c r="B35" s="13" t="s">
        <v>499</v>
      </c>
      <c r="C35" s="14">
        <v>340</v>
      </c>
      <c r="D35" s="15">
        <v>0.18888888888888888</v>
      </c>
      <c r="E35" s="14">
        <v>0</v>
      </c>
      <c r="F35" s="14">
        <v>38.693488888888886</v>
      </c>
      <c r="G35" s="14">
        <v>0</v>
      </c>
      <c r="H35" s="14">
        <v>0</v>
      </c>
      <c r="I35" s="14">
        <v>1.9346744732733405</v>
      </c>
      <c r="J35" s="14">
        <v>40.628163362162226</v>
      </c>
      <c r="K35" s="16"/>
      <c r="L35" s="17"/>
      <c r="N35" s="14">
        <v>120</v>
      </c>
      <c r="O35" s="15">
        <v>0.06666666666666667</v>
      </c>
      <c r="P35" s="14">
        <v>0</v>
      </c>
      <c r="Q35" s="14">
        <v>13.907422222222223</v>
      </c>
      <c r="R35" s="14">
        <v>0</v>
      </c>
      <c r="S35" s="14">
        <v>0</v>
      </c>
      <c r="T35" s="14">
        <v>0.6953711214729482</v>
      </c>
      <c r="U35" s="14">
        <v>14.602793343695172</v>
      </c>
      <c r="V35" s="16">
        <v>0.35942538710216543</v>
      </c>
      <c r="W35" s="17"/>
      <c r="Y35" s="14">
        <v>100</v>
      </c>
      <c r="Z35" s="15">
        <v>0.05555555555555555</v>
      </c>
      <c r="AA35" s="14">
        <v>0</v>
      </c>
      <c r="AB35" s="14">
        <v>11.4118</v>
      </c>
      <c r="AC35" s="14">
        <v>0</v>
      </c>
      <c r="AD35" s="14">
        <v>0</v>
      </c>
      <c r="AE35" s="14">
        <v>0.5705900085024536</v>
      </c>
      <c r="AF35" s="14">
        <v>11.982390008502453</v>
      </c>
      <c r="AG35" s="16">
        <v>0.29492817338777066</v>
      </c>
      <c r="AH35" s="17"/>
      <c r="AJ35" s="14">
        <v>80</v>
      </c>
      <c r="AK35" s="15">
        <v>0.044444444444444446</v>
      </c>
      <c r="AL35" s="14">
        <v>0</v>
      </c>
      <c r="AM35" s="14">
        <v>8.91617777777778</v>
      </c>
      <c r="AN35" s="14">
        <v>0</v>
      </c>
      <c r="AO35" s="14">
        <v>0</v>
      </c>
      <c r="AP35" s="14">
        <v>0.44580889553195907</v>
      </c>
      <c r="AQ35" s="14">
        <v>9.361986673309739</v>
      </c>
      <c r="AR35" s="16">
        <v>0.23043095967337607</v>
      </c>
      <c r="AS35" s="17"/>
      <c r="AU35" s="14">
        <v>40</v>
      </c>
      <c r="AV35" s="15">
        <v>0.022222222222222223</v>
      </c>
      <c r="AW35" s="14">
        <v>0</v>
      </c>
      <c r="AX35" s="14">
        <v>4.45808888888889</v>
      </c>
      <c r="AY35" s="14">
        <v>0</v>
      </c>
      <c r="AZ35" s="14">
        <v>0</v>
      </c>
      <c r="BA35" s="14">
        <v>0.22290444776597954</v>
      </c>
      <c r="BB35" s="14">
        <v>4.680993336654869</v>
      </c>
      <c r="BC35" s="16">
        <v>0.11521547983668803</v>
      </c>
      <c r="BD35" s="17"/>
    </row>
    <row r="36" spans="1:56" ht="12.75">
      <c r="A36" s="8">
        <v>4</v>
      </c>
      <c r="B36" s="9" t="s">
        <v>500</v>
      </c>
      <c r="C36" s="10"/>
      <c r="D36" s="10"/>
      <c r="E36" s="10"/>
      <c r="F36" s="10"/>
      <c r="G36" s="10"/>
      <c r="H36" s="10"/>
      <c r="I36" s="10"/>
      <c r="J36" s="10"/>
      <c r="K36" s="11">
        <v>0.3915179443614014</v>
      </c>
      <c r="L36" s="12">
        <v>16532.540182686374</v>
      </c>
      <c r="N36" s="10"/>
      <c r="O36" s="10"/>
      <c r="P36" s="10"/>
      <c r="Q36" s="10"/>
      <c r="R36" s="10"/>
      <c r="S36" s="10"/>
      <c r="T36" s="10"/>
      <c r="U36" s="10"/>
      <c r="V36" s="10"/>
      <c r="W36" s="12">
        <v>938.6864161688864</v>
      </c>
      <c r="Y36" s="10"/>
      <c r="Z36" s="10"/>
      <c r="AA36" s="10"/>
      <c r="AB36" s="10"/>
      <c r="AC36" s="10"/>
      <c r="AD36" s="10"/>
      <c r="AE36" s="10"/>
      <c r="AF36" s="10"/>
      <c r="AG36" s="10"/>
      <c r="AH36" s="12">
        <v>2820.094206410954</v>
      </c>
      <c r="AJ36" s="10"/>
      <c r="AK36" s="10"/>
      <c r="AL36" s="10"/>
      <c r="AM36" s="10"/>
      <c r="AN36" s="10"/>
      <c r="AO36" s="10"/>
      <c r="AP36" s="10"/>
      <c r="AQ36" s="10"/>
      <c r="AR36" s="10"/>
      <c r="AS36" s="12">
        <v>12770.250226770711</v>
      </c>
      <c r="AU36" s="10"/>
      <c r="AV36" s="10"/>
      <c r="AW36" s="10"/>
      <c r="AX36" s="10"/>
      <c r="AY36" s="10"/>
      <c r="AZ36" s="10"/>
      <c r="BA36" s="10"/>
      <c r="BB36" s="10"/>
      <c r="BC36" s="10"/>
      <c r="BD36" s="12">
        <v>3.5093333358234826</v>
      </c>
    </row>
    <row r="37" spans="1:55" ht="12.75">
      <c r="A37" s="13">
        <v>4.1</v>
      </c>
      <c r="B37" s="19" t="s">
        <v>501</v>
      </c>
      <c r="C37" s="14">
        <v>520</v>
      </c>
      <c r="D37" s="15">
        <v>0.28888888888888886</v>
      </c>
      <c r="E37" s="14">
        <v>0</v>
      </c>
      <c r="F37" s="14">
        <v>34.666511111111106</v>
      </c>
      <c r="G37" s="14">
        <v>618</v>
      </c>
      <c r="H37" s="14">
        <v>0</v>
      </c>
      <c r="I37" s="14">
        <v>116.2604271350016</v>
      </c>
      <c r="J37" s="14">
        <v>768.9269382461126</v>
      </c>
      <c r="K37" s="16"/>
      <c r="N37" s="14">
        <v>300</v>
      </c>
      <c r="O37" s="15">
        <v>0.16666666666666666</v>
      </c>
      <c r="P37" s="14">
        <v>0</v>
      </c>
      <c r="Q37" s="14">
        <v>21.777666666666665</v>
      </c>
      <c r="R37" s="14">
        <v>0</v>
      </c>
      <c r="S37" s="14">
        <v>0</v>
      </c>
      <c r="T37" s="14">
        <v>3.0488733463138336</v>
      </c>
      <c r="U37" s="14">
        <v>24.826540012980498</v>
      </c>
      <c r="V37" s="16">
        <v>0.03228725484583582</v>
      </c>
      <c r="Y37" s="14">
        <v>120</v>
      </c>
      <c r="Z37" s="15">
        <v>0.06666666666666667</v>
      </c>
      <c r="AA37" s="14">
        <v>0</v>
      </c>
      <c r="AB37" s="14">
        <v>8.711066666666666</v>
      </c>
      <c r="AC37" s="14">
        <v>0</v>
      </c>
      <c r="AD37" s="14">
        <v>0</v>
      </c>
      <c r="AE37" s="14">
        <v>1.2195493385255336</v>
      </c>
      <c r="AF37" s="14">
        <v>9.9306160051922</v>
      </c>
      <c r="AG37" s="16">
        <v>0.012914901938334326</v>
      </c>
      <c r="AJ37" s="14">
        <v>100</v>
      </c>
      <c r="AK37" s="15">
        <v>0.05555555555555555</v>
      </c>
      <c r="AL37" s="14">
        <v>0</v>
      </c>
      <c r="AM37" s="14">
        <v>4.177777777777778</v>
      </c>
      <c r="AN37" s="14">
        <v>618</v>
      </c>
      <c r="AO37" s="14">
        <v>0</v>
      </c>
      <c r="AP37" s="14">
        <v>111.99200445016224</v>
      </c>
      <c r="AQ37" s="14">
        <v>734.16978222794</v>
      </c>
      <c r="AR37" s="16">
        <v>0.9547978432158299</v>
      </c>
      <c r="AU37" s="14">
        <v>0</v>
      </c>
      <c r="AV37" s="15">
        <v>0</v>
      </c>
      <c r="AW37" s="14">
        <v>0</v>
      </c>
      <c r="AX37" s="14">
        <v>0</v>
      </c>
      <c r="AY37" s="14">
        <v>0</v>
      </c>
      <c r="AZ37" s="14">
        <v>0</v>
      </c>
      <c r="BA37" s="14">
        <v>0</v>
      </c>
      <c r="BB37" s="14">
        <v>0</v>
      </c>
      <c r="BC37" s="16">
        <v>0</v>
      </c>
    </row>
    <row r="38" spans="1:55" ht="12.75">
      <c r="A38" s="13">
        <v>4.2</v>
      </c>
      <c r="B38" s="19" t="s">
        <v>502</v>
      </c>
      <c r="K38" s="22"/>
      <c r="V38" s="22"/>
      <c r="AG38" s="22"/>
      <c r="AR38" s="22"/>
      <c r="BC38" s="22"/>
    </row>
    <row r="39" spans="1:55" ht="12.75">
      <c r="A39" s="23" t="s">
        <v>503</v>
      </c>
      <c r="B39" s="19" t="s">
        <v>504</v>
      </c>
      <c r="C39" s="14">
        <v>1920</v>
      </c>
      <c r="D39" s="15">
        <v>1.0666666666666667</v>
      </c>
      <c r="E39" s="14">
        <v>0</v>
      </c>
      <c r="F39" s="14">
        <v>104.86488888888888</v>
      </c>
      <c r="G39" s="14">
        <v>113.3</v>
      </c>
      <c r="H39" s="14">
        <v>0</v>
      </c>
      <c r="I39" s="14">
        <v>65.4494692673948</v>
      </c>
      <c r="J39" s="14">
        <v>283.6143581562837</v>
      </c>
      <c r="K39" s="16"/>
      <c r="N39" s="14">
        <v>160</v>
      </c>
      <c r="O39" s="15">
        <v>0.08888888888888889</v>
      </c>
      <c r="P39" s="14">
        <v>0</v>
      </c>
      <c r="Q39" s="14">
        <v>11.614755555555556</v>
      </c>
      <c r="R39" s="14">
        <v>0</v>
      </c>
      <c r="S39" s="14">
        <v>0</v>
      </c>
      <c r="T39" s="14">
        <v>3.4844268051253424</v>
      </c>
      <c r="U39" s="14">
        <v>15.0991823606809</v>
      </c>
      <c r="V39" s="16">
        <v>0.053238427203888605</v>
      </c>
      <c r="Y39" s="14">
        <v>480</v>
      </c>
      <c r="Z39" s="15">
        <v>0.26666666666666666</v>
      </c>
      <c r="AA39" s="14">
        <v>0</v>
      </c>
      <c r="AB39" s="14">
        <v>34.84426666666666</v>
      </c>
      <c r="AC39" s="14">
        <v>0</v>
      </c>
      <c r="AD39" s="14">
        <v>0</v>
      </c>
      <c r="AE39" s="14">
        <v>10.453280415376026</v>
      </c>
      <c r="AF39" s="14">
        <v>45.29754708204269</v>
      </c>
      <c r="AG39" s="16">
        <v>0.1597152816116658</v>
      </c>
      <c r="AJ39" s="14">
        <v>1280</v>
      </c>
      <c r="AK39" s="15">
        <v>0.7111111111111111</v>
      </c>
      <c r="AL39" s="14">
        <v>0</v>
      </c>
      <c r="AM39" s="14">
        <v>58.40586666666667</v>
      </c>
      <c r="AN39" s="14">
        <v>113.3</v>
      </c>
      <c r="AO39" s="14">
        <v>0</v>
      </c>
      <c r="AP39" s="14">
        <v>51.51176204689344</v>
      </c>
      <c r="AQ39" s="14">
        <v>223.21762871356012</v>
      </c>
      <c r="AR39" s="16">
        <v>0.7870462911844457</v>
      </c>
      <c r="AU39" s="14">
        <v>0</v>
      </c>
      <c r="AV39" s="15">
        <v>0</v>
      </c>
      <c r="AW39" s="14">
        <v>0</v>
      </c>
      <c r="AX39" s="14">
        <v>0</v>
      </c>
      <c r="AY39" s="14">
        <v>0</v>
      </c>
      <c r="AZ39" s="14">
        <v>0</v>
      </c>
      <c r="BA39" s="14">
        <v>0</v>
      </c>
      <c r="BB39" s="14">
        <v>0</v>
      </c>
      <c r="BC39" s="16">
        <v>0</v>
      </c>
    </row>
    <row r="40" spans="1:55" ht="12.75">
      <c r="A40" s="23" t="s">
        <v>505</v>
      </c>
      <c r="B40" s="19" t="s">
        <v>506</v>
      </c>
      <c r="C40" s="14">
        <v>740</v>
      </c>
      <c r="D40" s="15">
        <v>0.4111111111111111</v>
      </c>
      <c r="E40" s="14">
        <v>0</v>
      </c>
      <c r="F40" s="14">
        <v>44.47391111111111</v>
      </c>
      <c r="G40" s="14">
        <v>45.423</v>
      </c>
      <c r="H40" s="14">
        <v>0</v>
      </c>
      <c r="I40" s="14">
        <v>23.373196031565136</v>
      </c>
      <c r="J40" s="14">
        <v>113.27010714267624</v>
      </c>
      <c r="K40" s="16"/>
      <c r="N40" s="14">
        <v>120</v>
      </c>
      <c r="O40" s="15">
        <v>0.06666666666666667</v>
      </c>
      <c r="P40" s="14">
        <v>0</v>
      </c>
      <c r="Q40" s="14">
        <v>8.711066666666666</v>
      </c>
      <c r="R40" s="14">
        <v>0</v>
      </c>
      <c r="S40" s="14">
        <v>0</v>
      </c>
      <c r="T40" s="14">
        <v>2.264877250258128</v>
      </c>
      <c r="U40" s="14">
        <v>10.975943916924793</v>
      </c>
      <c r="V40" s="16">
        <v>0.09690062271327576</v>
      </c>
      <c r="Y40" s="14">
        <v>270</v>
      </c>
      <c r="Z40" s="15">
        <v>0.15</v>
      </c>
      <c r="AA40" s="14">
        <v>0</v>
      </c>
      <c r="AB40" s="14">
        <v>19.599899999999998</v>
      </c>
      <c r="AC40" s="14">
        <v>0</v>
      </c>
      <c r="AD40" s="14">
        <v>0</v>
      </c>
      <c r="AE40" s="14">
        <v>5.0959738130807875</v>
      </c>
      <c r="AF40" s="14">
        <v>24.695873813080787</v>
      </c>
      <c r="AG40" s="16">
        <v>0.2180264011048705</v>
      </c>
      <c r="AJ40" s="14">
        <v>350</v>
      </c>
      <c r="AK40" s="15">
        <v>0.19444444444444445</v>
      </c>
      <c r="AL40" s="14">
        <v>0</v>
      </c>
      <c r="AM40" s="14">
        <v>16.162944444444445</v>
      </c>
      <c r="AN40" s="14">
        <v>45.423</v>
      </c>
      <c r="AO40" s="14">
        <v>0</v>
      </c>
      <c r="AP40" s="14">
        <v>16.012344968226223</v>
      </c>
      <c r="AQ40" s="14">
        <v>77.59828941267068</v>
      </c>
      <c r="AR40" s="16">
        <v>0.6850729761818539</v>
      </c>
      <c r="AU40" s="14">
        <v>0</v>
      </c>
      <c r="AV40" s="15">
        <v>0</v>
      </c>
      <c r="AW40" s="14">
        <v>0</v>
      </c>
      <c r="AX40" s="14">
        <v>0</v>
      </c>
      <c r="AY40" s="14">
        <v>0</v>
      </c>
      <c r="AZ40" s="14">
        <v>0</v>
      </c>
      <c r="BA40" s="14">
        <v>0</v>
      </c>
      <c r="BB40" s="14">
        <v>0</v>
      </c>
      <c r="BC40" s="16">
        <v>0</v>
      </c>
    </row>
    <row r="41" spans="1:55" ht="12.75">
      <c r="A41" s="23" t="s">
        <v>507</v>
      </c>
      <c r="B41" s="19" t="s">
        <v>508</v>
      </c>
      <c r="C41" s="14">
        <v>6720</v>
      </c>
      <c r="D41" s="15">
        <v>3.7333333333333334</v>
      </c>
      <c r="E41" s="14">
        <v>0</v>
      </c>
      <c r="F41" s="14">
        <v>399.0741333333333</v>
      </c>
      <c r="G41" s="14">
        <v>265.74</v>
      </c>
      <c r="H41" s="14">
        <v>0</v>
      </c>
      <c r="I41" s="14">
        <v>199.44424792520203</v>
      </c>
      <c r="J41" s="14">
        <v>864.2583812585353</v>
      </c>
      <c r="K41" s="16"/>
      <c r="N41" s="14">
        <v>533</v>
      </c>
      <c r="O41" s="15">
        <v>0.2961111111111111</v>
      </c>
      <c r="P41" s="14">
        <v>0</v>
      </c>
      <c r="Q41" s="14">
        <v>38.691654444444445</v>
      </c>
      <c r="R41" s="14">
        <v>0</v>
      </c>
      <c r="S41" s="14">
        <v>0</v>
      </c>
      <c r="T41" s="14">
        <v>11.607496794573796</v>
      </c>
      <c r="U41" s="14">
        <v>50.299151239018244</v>
      </c>
      <c r="V41" s="16">
        <v>0.05819920561924142</v>
      </c>
      <c r="Y41" s="14">
        <v>2827</v>
      </c>
      <c r="Z41" s="15">
        <v>1.5705555555555555</v>
      </c>
      <c r="AA41" s="14">
        <v>0</v>
      </c>
      <c r="AB41" s="14">
        <v>205.2182122222222</v>
      </c>
      <c r="AC41" s="14">
        <v>0</v>
      </c>
      <c r="AD41" s="14">
        <v>0</v>
      </c>
      <c r="AE41" s="14">
        <v>61.56546611305839</v>
      </c>
      <c r="AF41" s="14">
        <v>266.78367833528057</v>
      </c>
      <c r="AG41" s="16">
        <v>0.3086850924682842</v>
      </c>
      <c r="AJ41" s="14">
        <v>3360</v>
      </c>
      <c r="AK41" s="15">
        <v>1.8666666666666667</v>
      </c>
      <c r="AL41" s="14">
        <v>0</v>
      </c>
      <c r="AM41" s="14">
        <v>155.16426666666666</v>
      </c>
      <c r="AN41" s="14">
        <v>265.74</v>
      </c>
      <c r="AO41" s="14">
        <v>0</v>
      </c>
      <c r="AP41" s="14">
        <v>126.27128501756985</v>
      </c>
      <c r="AQ41" s="14">
        <v>547.1755516842366</v>
      </c>
      <c r="AR41" s="16">
        <v>0.6331157019124745</v>
      </c>
      <c r="AU41" s="14">
        <v>0</v>
      </c>
      <c r="AV41" s="15">
        <v>0</v>
      </c>
      <c r="AW41" s="14">
        <v>0</v>
      </c>
      <c r="AX41" s="14">
        <v>0</v>
      </c>
      <c r="AY41" s="14">
        <v>0</v>
      </c>
      <c r="AZ41" s="14">
        <v>0</v>
      </c>
      <c r="BA41" s="14">
        <v>0</v>
      </c>
      <c r="BB41" s="14">
        <v>0</v>
      </c>
      <c r="BC41" s="16">
        <v>0</v>
      </c>
    </row>
    <row r="42" spans="1:55" ht="12.75">
      <c r="A42" s="23" t="s">
        <v>509</v>
      </c>
      <c r="B42" s="19" t="s">
        <v>510</v>
      </c>
      <c r="C42" s="14">
        <v>4640</v>
      </c>
      <c r="D42" s="15">
        <v>2.577777777777778</v>
      </c>
      <c r="E42" s="14">
        <v>0</v>
      </c>
      <c r="F42" s="14">
        <v>277.66417777777775</v>
      </c>
      <c r="G42" s="14">
        <v>271.92</v>
      </c>
      <c r="H42" s="14">
        <v>0</v>
      </c>
      <c r="I42" s="14">
        <v>164.87525988488724</v>
      </c>
      <c r="J42" s="14">
        <v>714.459437662665</v>
      </c>
      <c r="K42" s="16"/>
      <c r="N42" s="14">
        <v>400</v>
      </c>
      <c r="O42" s="15">
        <v>0.2222222222222222</v>
      </c>
      <c r="P42" s="14">
        <v>0</v>
      </c>
      <c r="Q42" s="14">
        <v>29.036888888888885</v>
      </c>
      <c r="R42" s="14">
        <v>0</v>
      </c>
      <c r="S42" s="14">
        <v>0</v>
      </c>
      <c r="T42" s="14">
        <v>8.711067012813356</v>
      </c>
      <c r="U42" s="14">
        <v>37.74795590170224</v>
      </c>
      <c r="V42" s="16">
        <v>0.052834288291010154</v>
      </c>
      <c r="Y42" s="14">
        <v>2000</v>
      </c>
      <c r="Z42" s="15">
        <v>1.1111111111111112</v>
      </c>
      <c r="AA42" s="14">
        <v>0</v>
      </c>
      <c r="AB42" s="14">
        <v>145.18444444444444</v>
      </c>
      <c r="AC42" s="14">
        <v>0</v>
      </c>
      <c r="AD42" s="14">
        <v>0</v>
      </c>
      <c r="AE42" s="14">
        <v>43.555335064066774</v>
      </c>
      <c r="AF42" s="14">
        <v>188.73977950851122</v>
      </c>
      <c r="AG42" s="16">
        <v>0.2641714414550508</v>
      </c>
      <c r="AJ42" s="14">
        <v>2240</v>
      </c>
      <c r="AK42" s="15">
        <v>1.2444444444444445</v>
      </c>
      <c r="AL42" s="14">
        <v>0</v>
      </c>
      <c r="AM42" s="14">
        <v>103.44284444444443</v>
      </c>
      <c r="AN42" s="14">
        <v>271.92</v>
      </c>
      <c r="AO42" s="14">
        <v>0</v>
      </c>
      <c r="AP42" s="14">
        <v>112.60885780800712</v>
      </c>
      <c r="AQ42" s="14">
        <v>487.97170225245156</v>
      </c>
      <c r="AR42" s="16">
        <v>0.6829942702539391</v>
      </c>
      <c r="AU42" s="14">
        <v>0</v>
      </c>
      <c r="AV42" s="15">
        <v>0</v>
      </c>
      <c r="AW42" s="14">
        <v>0</v>
      </c>
      <c r="AX42" s="14">
        <v>0</v>
      </c>
      <c r="AY42" s="14">
        <v>0</v>
      </c>
      <c r="AZ42" s="14">
        <v>0</v>
      </c>
      <c r="BA42" s="14">
        <v>0</v>
      </c>
      <c r="BB42" s="14">
        <v>0</v>
      </c>
      <c r="BC42" s="16">
        <v>0</v>
      </c>
    </row>
    <row r="43" spans="1:56" ht="12.75">
      <c r="A43" s="23" t="s">
        <v>511</v>
      </c>
      <c r="B43" s="13" t="s">
        <v>512</v>
      </c>
      <c r="C43" s="14">
        <v>7450</v>
      </c>
      <c r="D43" s="15">
        <v>4.138888888888889</v>
      </c>
      <c r="E43" s="14">
        <v>3</v>
      </c>
      <c r="F43" s="14">
        <v>494.7581444444445</v>
      </c>
      <c r="G43" s="14">
        <v>1618.24</v>
      </c>
      <c r="H43" s="14">
        <v>4.04690087890625</v>
      </c>
      <c r="I43" s="14">
        <v>905.4387047801686</v>
      </c>
      <c r="J43" s="14">
        <v>3022.48375010352</v>
      </c>
      <c r="K43" s="16"/>
      <c r="L43" s="17"/>
      <c r="N43" s="14">
        <v>1520</v>
      </c>
      <c r="O43" s="15">
        <v>0.8444444444444444</v>
      </c>
      <c r="P43" s="14">
        <v>0</v>
      </c>
      <c r="Q43" s="14">
        <v>111.36142222222222</v>
      </c>
      <c r="R43" s="14">
        <v>0</v>
      </c>
      <c r="S43" s="14">
        <v>0</v>
      </c>
      <c r="T43" s="14">
        <v>38.97649711401198</v>
      </c>
      <c r="U43" s="14">
        <v>150.3379193362342</v>
      </c>
      <c r="V43" s="16">
        <v>0.049739860249400886</v>
      </c>
      <c r="W43" s="17"/>
      <c r="Y43" s="14">
        <v>2480</v>
      </c>
      <c r="Z43" s="15">
        <v>1.3777777777777778</v>
      </c>
      <c r="AA43" s="14">
        <v>3</v>
      </c>
      <c r="AB43" s="14">
        <v>174.15955555555556</v>
      </c>
      <c r="AC43" s="14">
        <v>0</v>
      </c>
      <c r="AD43" s="14">
        <v>4.04690087890625</v>
      </c>
      <c r="AE43" s="14">
        <v>62.37225868986838</v>
      </c>
      <c r="AF43" s="14">
        <v>240.5787151243302</v>
      </c>
      <c r="AG43" s="16">
        <v>0.07959636345971766</v>
      </c>
      <c r="AH43" s="17"/>
      <c r="AJ43" s="14">
        <v>3450</v>
      </c>
      <c r="AK43" s="15">
        <v>1.9166666666666667</v>
      </c>
      <c r="AL43" s="14">
        <v>0</v>
      </c>
      <c r="AM43" s="14">
        <v>209.2371666666667</v>
      </c>
      <c r="AN43" s="14">
        <v>1618.24</v>
      </c>
      <c r="AO43" s="14">
        <v>0</v>
      </c>
      <c r="AP43" s="14">
        <v>804.0899489762883</v>
      </c>
      <c r="AQ43" s="14">
        <v>2631.5671156429553</v>
      </c>
      <c r="AR43" s="16">
        <v>0.8706637762908814</v>
      </c>
      <c r="AS43" s="17"/>
      <c r="AU43" s="14">
        <v>0</v>
      </c>
      <c r="AV43" s="15">
        <v>0</v>
      </c>
      <c r="AW43" s="14">
        <v>0</v>
      </c>
      <c r="AX43" s="14">
        <v>0</v>
      </c>
      <c r="AY43" s="14">
        <v>0</v>
      </c>
      <c r="AZ43" s="14">
        <v>0</v>
      </c>
      <c r="BA43" s="14">
        <v>0</v>
      </c>
      <c r="BB43" s="14">
        <v>0</v>
      </c>
      <c r="BC43" s="16">
        <v>0</v>
      </c>
      <c r="BD43" s="17"/>
    </row>
    <row r="44" spans="1:56" ht="12.75">
      <c r="A44" s="23" t="s">
        <v>513</v>
      </c>
      <c r="B44" s="13" t="s">
        <v>514</v>
      </c>
      <c r="C44" s="14">
        <v>3384</v>
      </c>
      <c r="D44" s="15">
        <v>1.88</v>
      </c>
      <c r="E44" s="14">
        <v>0</v>
      </c>
      <c r="F44" s="14">
        <v>193.81825111111112</v>
      </c>
      <c r="G44" s="14">
        <v>237.205</v>
      </c>
      <c r="H44" s="14">
        <v>0</v>
      </c>
      <c r="I44" s="14">
        <v>95.72072503267466</v>
      </c>
      <c r="J44" s="14">
        <v>526.7439761437857</v>
      </c>
      <c r="K44" s="16"/>
      <c r="L44" s="17"/>
      <c r="N44" s="14">
        <v>628</v>
      </c>
      <c r="O44" s="15">
        <v>0.3488888888888889</v>
      </c>
      <c r="P44" s="14">
        <v>0</v>
      </c>
      <c r="Q44" s="14">
        <v>35.401673333333335</v>
      </c>
      <c r="R44" s="14">
        <v>0</v>
      </c>
      <c r="S44" s="14">
        <v>0</v>
      </c>
      <c r="T44" s="14">
        <v>7.080334772171875</v>
      </c>
      <c r="U44" s="14">
        <v>42.48200810550521</v>
      </c>
      <c r="V44" s="16">
        <v>0.0806502020516868</v>
      </c>
      <c r="W44" s="17"/>
      <c r="Y44" s="14">
        <v>1812</v>
      </c>
      <c r="Z44" s="15">
        <v>1.0066666666666666</v>
      </c>
      <c r="AA44" s="14">
        <v>0</v>
      </c>
      <c r="AB44" s="14">
        <v>105.14645999999999</v>
      </c>
      <c r="AC44" s="14">
        <v>0</v>
      </c>
      <c r="AD44" s="14">
        <v>0</v>
      </c>
      <c r="AE44" s="14">
        <v>18.926363552066086</v>
      </c>
      <c r="AF44" s="14">
        <v>124.07282355206607</v>
      </c>
      <c r="AG44" s="16">
        <v>0.23554673460223455</v>
      </c>
      <c r="AH44" s="17"/>
      <c r="AJ44" s="14">
        <v>944</v>
      </c>
      <c r="AK44" s="15">
        <v>0.5244444444444445</v>
      </c>
      <c r="AL44" s="14">
        <v>0</v>
      </c>
      <c r="AM44" s="14">
        <v>53.27011777777778</v>
      </c>
      <c r="AN44" s="14">
        <v>237.205</v>
      </c>
      <c r="AO44" s="14">
        <v>0</v>
      </c>
      <c r="AP44" s="14">
        <v>69.7140267084367</v>
      </c>
      <c r="AQ44" s="14">
        <v>360.18914448621445</v>
      </c>
      <c r="AR44" s="16">
        <v>0.6838030633460787</v>
      </c>
      <c r="AS44" s="17"/>
      <c r="AU44" s="14">
        <v>0</v>
      </c>
      <c r="AV44" s="15">
        <v>0</v>
      </c>
      <c r="AW44" s="14">
        <v>0</v>
      </c>
      <c r="AX44" s="14">
        <v>0</v>
      </c>
      <c r="AY44" s="14">
        <v>0</v>
      </c>
      <c r="AZ44" s="14">
        <v>0</v>
      </c>
      <c r="BA44" s="14">
        <v>0</v>
      </c>
      <c r="BB44" s="14">
        <v>0</v>
      </c>
      <c r="BC44" s="16">
        <v>0</v>
      </c>
      <c r="BD44" s="17"/>
    </row>
    <row r="45" spans="1:56" ht="12.75">
      <c r="A45" s="23" t="s">
        <v>515</v>
      </c>
      <c r="B45" s="13" t="s">
        <v>516</v>
      </c>
      <c r="C45" s="14">
        <v>9520</v>
      </c>
      <c r="D45" s="15">
        <v>5.288888888888889</v>
      </c>
      <c r="E45" s="14">
        <v>5</v>
      </c>
      <c r="F45" s="14">
        <v>592.0716877777778</v>
      </c>
      <c r="G45" s="14">
        <v>1007.085</v>
      </c>
      <c r="H45" s="14">
        <v>4.594834716796875</v>
      </c>
      <c r="I45" s="14">
        <v>686.5274272787971</v>
      </c>
      <c r="J45" s="14">
        <v>2290.2789497733716</v>
      </c>
      <c r="K45" s="16"/>
      <c r="L45" s="17"/>
      <c r="N45" s="14">
        <v>1596</v>
      </c>
      <c r="O45" s="15">
        <v>0.8866666666666667</v>
      </c>
      <c r="P45" s="14">
        <v>2</v>
      </c>
      <c r="Q45" s="14">
        <v>108.2724</v>
      </c>
      <c r="R45" s="14">
        <v>0</v>
      </c>
      <c r="S45" s="14">
        <v>1.837933837890625</v>
      </c>
      <c r="T45" s="14">
        <v>42.94302862163639</v>
      </c>
      <c r="U45" s="14">
        <v>153.05336245952702</v>
      </c>
      <c r="V45" s="16">
        <v>0.06682738907182988</v>
      </c>
      <c r="W45" s="17"/>
      <c r="Y45" s="14">
        <v>4220</v>
      </c>
      <c r="Z45" s="15">
        <v>2.3444444444444446</v>
      </c>
      <c r="AA45" s="14">
        <v>3</v>
      </c>
      <c r="AB45" s="14">
        <v>269.59745000000004</v>
      </c>
      <c r="AC45" s="14">
        <v>0</v>
      </c>
      <c r="AD45" s="14">
        <v>2.75690087890625</v>
      </c>
      <c r="AE45" s="14">
        <v>106.2181929467132</v>
      </c>
      <c r="AF45" s="14">
        <v>378.5725438256195</v>
      </c>
      <c r="AG45" s="16">
        <v>0.1652953863384546</v>
      </c>
      <c r="AH45" s="17"/>
      <c r="AJ45" s="14">
        <v>3704</v>
      </c>
      <c r="AK45" s="15">
        <v>2.057777777777778</v>
      </c>
      <c r="AL45" s="14">
        <v>0</v>
      </c>
      <c r="AM45" s="14">
        <v>214.20183777777777</v>
      </c>
      <c r="AN45" s="14">
        <v>1007.085</v>
      </c>
      <c r="AO45" s="14">
        <v>0</v>
      </c>
      <c r="AP45" s="14">
        <v>537.3662057104475</v>
      </c>
      <c r="AQ45" s="14">
        <v>1758.6530434882252</v>
      </c>
      <c r="AR45" s="16">
        <v>0.7678772245897156</v>
      </c>
      <c r="AS45" s="17"/>
      <c r="AU45" s="14">
        <v>0</v>
      </c>
      <c r="AV45" s="15">
        <v>0</v>
      </c>
      <c r="AW45" s="14">
        <v>0</v>
      </c>
      <c r="AX45" s="14">
        <v>0</v>
      </c>
      <c r="AY45" s="14">
        <v>0</v>
      </c>
      <c r="AZ45" s="14">
        <v>0</v>
      </c>
      <c r="BA45" s="14">
        <v>0</v>
      </c>
      <c r="BB45" s="14">
        <v>0</v>
      </c>
      <c r="BC45" s="16">
        <v>0</v>
      </c>
      <c r="BD45" s="17"/>
    </row>
    <row r="46" spans="1:55" ht="12.75">
      <c r="A46" s="23" t="s">
        <v>517</v>
      </c>
      <c r="B46" s="19" t="s">
        <v>518</v>
      </c>
      <c r="C46" s="14">
        <v>3180</v>
      </c>
      <c r="D46" s="15">
        <v>1.7666666666666666</v>
      </c>
      <c r="E46" s="14">
        <v>0</v>
      </c>
      <c r="F46" s="14">
        <v>209.88944444444442</v>
      </c>
      <c r="G46" s="14">
        <v>51.5</v>
      </c>
      <c r="H46" s="14">
        <v>0</v>
      </c>
      <c r="I46" s="14">
        <v>57.788818187363276</v>
      </c>
      <c r="J46" s="14">
        <v>319.1782626318077</v>
      </c>
      <c r="K46" s="16"/>
      <c r="N46" s="14">
        <v>80</v>
      </c>
      <c r="O46" s="15">
        <v>0.044444444444444446</v>
      </c>
      <c r="P46" s="14">
        <v>0</v>
      </c>
      <c r="Q46" s="14">
        <v>5.807377777777778</v>
      </c>
      <c r="R46" s="14">
        <v>0</v>
      </c>
      <c r="S46" s="14">
        <v>0</v>
      </c>
      <c r="T46" s="14">
        <v>0.580737786431445</v>
      </c>
      <c r="U46" s="14">
        <v>6.388115564209223</v>
      </c>
      <c r="V46" s="16">
        <v>0.02001425633292051</v>
      </c>
      <c r="Y46" s="14">
        <v>1100</v>
      </c>
      <c r="Z46" s="15">
        <v>0.6111111111111112</v>
      </c>
      <c r="AA46" s="14">
        <v>0</v>
      </c>
      <c r="AB46" s="14">
        <v>74.30484444444444</v>
      </c>
      <c r="AC46" s="14">
        <v>0</v>
      </c>
      <c r="AD46" s="14">
        <v>0</v>
      </c>
      <c r="AE46" s="14">
        <v>11.888774845376279</v>
      </c>
      <c r="AF46" s="14">
        <v>86.19361928982072</v>
      </c>
      <c r="AG46" s="16">
        <v>0.27004852579591393</v>
      </c>
      <c r="AJ46" s="14">
        <v>2000</v>
      </c>
      <c r="AK46" s="15">
        <v>1.1111111111111112</v>
      </c>
      <c r="AL46" s="14">
        <v>0</v>
      </c>
      <c r="AM46" s="14">
        <v>129.7772222222222</v>
      </c>
      <c r="AN46" s="14">
        <v>51.5</v>
      </c>
      <c r="AO46" s="14">
        <v>0</v>
      </c>
      <c r="AP46" s="14">
        <v>45.31930555555555</v>
      </c>
      <c r="AQ46" s="14">
        <v>226.59652777777777</v>
      </c>
      <c r="AR46" s="16">
        <v>0.7099372178711656</v>
      </c>
      <c r="AU46" s="14">
        <v>0</v>
      </c>
      <c r="AV46" s="15">
        <v>0</v>
      </c>
      <c r="AW46" s="14">
        <v>0</v>
      </c>
      <c r="AX46" s="14">
        <v>0</v>
      </c>
      <c r="AY46" s="14">
        <v>0</v>
      </c>
      <c r="AZ46" s="14">
        <v>0</v>
      </c>
      <c r="BA46" s="14">
        <v>0</v>
      </c>
      <c r="BB46" s="14">
        <v>0</v>
      </c>
      <c r="BC46" s="16">
        <v>0</v>
      </c>
    </row>
    <row r="47" spans="1:55" ht="12.75">
      <c r="A47" s="23" t="s">
        <v>519</v>
      </c>
      <c r="B47" s="13" t="s">
        <v>520</v>
      </c>
      <c r="C47" s="14">
        <v>577.5</v>
      </c>
      <c r="D47" s="15">
        <v>0.32083333333333336</v>
      </c>
      <c r="E47" s="14">
        <v>0</v>
      </c>
      <c r="F47" s="14">
        <v>37.61417083333333</v>
      </c>
      <c r="G47" s="14">
        <v>69.3311</v>
      </c>
      <c r="H47" s="14">
        <v>0</v>
      </c>
      <c r="I47" s="14">
        <v>17.11124295086724</v>
      </c>
      <c r="J47" s="14">
        <v>124.05651378420058</v>
      </c>
      <c r="K47" s="16"/>
      <c r="N47" s="14">
        <v>127.5</v>
      </c>
      <c r="O47" s="15">
        <v>0.07083333333333333</v>
      </c>
      <c r="P47" s="14">
        <v>0</v>
      </c>
      <c r="Q47" s="14">
        <v>8.884649999999999</v>
      </c>
      <c r="R47" s="14">
        <v>0</v>
      </c>
      <c r="S47" s="14">
        <v>0</v>
      </c>
      <c r="T47" s="14">
        <v>1.4215439682260156</v>
      </c>
      <c r="U47" s="14">
        <v>10.306193968226015</v>
      </c>
      <c r="V47" s="16">
        <v>0.08307660479766422</v>
      </c>
      <c r="Y47" s="14">
        <v>187.5</v>
      </c>
      <c r="Z47" s="15">
        <v>0.10416666666666667</v>
      </c>
      <c r="AA47" s="14">
        <v>0</v>
      </c>
      <c r="AB47" s="14">
        <v>12.683895833333333</v>
      </c>
      <c r="AC47" s="14">
        <v>0</v>
      </c>
      <c r="AD47" s="14">
        <v>0</v>
      </c>
      <c r="AE47" s="14">
        <v>2.0294232879721865</v>
      </c>
      <c r="AF47" s="14">
        <v>14.713319121305519</v>
      </c>
      <c r="AG47" s="16">
        <v>0.11860174586962606</v>
      </c>
      <c r="AJ47" s="14">
        <v>262.5</v>
      </c>
      <c r="AK47" s="15">
        <v>0.14583333333333334</v>
      </c>
      <c r="AL47" s="14">
        <v>0</v>
      </c>
      <c r="AM47" s="14">
        <v>16.045625</v>
      </c>
      <c r="AN47" s="14">
        <v>69.3311</v>
      </c>
      <c r="AO47" s="14">
        <v>0</v>
      </c>
      <c r="AP47" s="14">
        <v>13.66027569466904</v>
      </c>
      <c r="AQ47" s="14">
        <v>99.03700069466905</v>
      </c>
      <c r="AR47" s="16">
        <v>0.7983216493327098</v>
      </c>
      <c r="AU47" s="14">
        <v>0</v>
      </c>
      <c r="AV47" s="15">
        <v>0</v>
      </c>
      <c r="AW47" s="14">
        <v>0</v>
      </c>
      <c r="AX47" s="14">
        <v>0</v>
      </c>
      <c r="AY47" s="14">
        <v>0</v>
      </c>
      <c r="AZ47" s="14">
        <v>0</v>
      </c>
      <c r="BA47" s="14">
        <v>0</v>
      </c>
      <c r="BB47" s="14">
        <v>0</v>
      </c>
      <c r="BC47" s="16">
        <v>0</v>
      </c>
    </row>
    <row r="48" spans="1:55" ht="12.75">
      <c r="A48" s="23" t="s">
        <v>521</v>
      </c>
      <c r="B48" s="19" t="s">
        <v>522</v>
      </c>
      <c r="C48" s="14">
        <v>2240</v>
      </c>
      <c r="D48" s="15">
        <v>1.2444444444444445</v>
      </c>
      <c r="E48" s="14">
        <v>0</v>
      </c>
      <c r="F48" s="14">
        <v>128.0944</v>
      </c>
      <c r="G48" s="14">
        <v>41.2</v>
      </c>
      <c r="H48" s="14">
        <v>0</v>
      </c>
      <c r="I48" s="14">
        <v>44.016542385482786</v>
      </c>
      <c r="J48" s="14">
        <v>213.31094238548278</v>
      </c>
      <c r="K48" s="16"/>
      <c r="N48" s="14">
        <v>240</v>
      </c>
      <c r="O48" s="15">
        <v>0.13333333333333333</v>
      </c>
      <c r="P48" s="14">
        <v>0</v>
      </c>
      <c r="Q48" s="14">
        <v>17.42213333333333</v>
      </c>
      <c r="R48" s="14">
        <v>0</v>
      </c>
      <c r="S48" s="14">
        <v>0</v>
      </c>
      <c r="T48" s="14">
        <v>4.529754500516256</v>
      </c>
      <c r="U48" s="14">
        <v>21.951887833849586</v>
      </c>
      <c r="V48" s="16">
        <v>0.10291027543340672</v>
      </c>
      <c r="Y48" s="14">
        <v>720</v>
      </c>
      <c r="Z48" s="15">
        <v>0.4</v>
      </c>
      <c r="AA48" s="14">
        <v>0</v>
      </c>
      <c r="AB48" s="14">
        <v>52.2664</v>
      </c>
      <c r="AC48" s="14">
        <v>0</v>
      </c>
      <c r="AD48" s="14">
        <v>0</v>
      </c>
      <c r="AE48" s="14">
        <v>13.589263501548764</v>
      </c>
      <c r="AF48" s="14">
        <v>65.85566350154876</v>
      </c>
      <c r="AG48" s="16">
        <v>0.3087308263002202</v>
      </c>
      <c r="AJ48" s="14">
        <v>1280</v>
      </c>
      <c r="AK48" s="15">
        <v>0.7111111111111111</v>
      </c>
      <c r="AL48" s="14">
        <v>0</v>
      </c>
      <c r="AM48" s="14">
        <v>58.40586666666667</v>
      </c>
      <c r="AN48" s="14">
        <v>41.2</v>
      </c>
      <c r="AO48" s="14">
        <v>0</v>
      </c>
      <c r="AP48" s="14">
        <v>25.897524383417768</v>
      </c>
      <c r="AQ48" s="14">
        <v>125.50339105008445</v>
      </c>
      <c r="AR48" s="16">
        <v>0.5883588982663731</v>
      </c>
      <c r="AU48" s="14">
        <v>0</v>
      </c>
      <c r="AV48" s="15">
        <v>0</v>
      </c>
      <c r="AW48" s="14">
        <v>0</v>
      </c>
      <c r="AX48" s="14">
        <v>0</v>
      </c>
      <c r="AY48" s="14">
        <v>0</v>
      </c>
      <c r="AZ48" s="14">
        <v>0</v>
      </c>
      <c r="BA48" s="14">
        <v>0</v>
      </c>
      <c r="BB48" s="14">
        <v>0</v>
      </c>
      <c r="BC48" s="16">
        <v>0</v>
      </c>
    </row>
    <row r="49" spans="1:55" ht="12.75">
      <c r="A49" s="23">
        <v>4.3</v>
      </c>
      <c r="B49" s="19" t="s">
        <v>523</v>
      </c>
      <c r="K49" s="22"/>
      <c r="V49" s="22"/>
      <c r="AG49" s="22"/>
      <c r="AR49" s="22"/>
      <c r="BC49" s="22"/>
    </row>
    <row r="50" spans="1:55" ht="12.75">
      <c r="A50" s="23" t="s">
        <v>524</v>
      </c>
      <c r="B50" s="19" t="s">
        <v>525</v>
      </c>
      <c r="C50" s="14">
        <v>1865</v>
      </c>
      <c r="D50" s="15">
        <v>1.0361111111111112</v>
      </c>
      <c r="E50" s="14">
        <v>2</v>
      </c>
      <c r="F50" s="14">
        <v>137.73645</v>
      </c>
      <c r="G50" s="14">
        <v>134.9</v>
      </c>
      <c r="H50" s="14">
        <v>9.693470703125</v>
      </c>
      <c r="I50" s="14">
        <v>42.349489788286206</v>
      </c>
      <c r="J50" s="14">
        <v>324.6794104914112</v>
      </c>
      <c r="K50" s="22"/>
      <c r="N50" s="14">
        <v>250</v>
      </c>
      <c r="O50" s="15">
        <v>0.1388888888888889</v>
      </c>
      <c r="P50" s="14">
        <v>0</v>
      </c>
      <c r="Q50" s="14">
        <v>19.17737222222222</v>
      </c>
      <c r="R50" s="14">
        <v>0</v>
      </c>
      <c r="S50" s="14">
        <v>0</v>
      </c>
      <c r="T50" s="14">
        <v>2.876605947639379</v>
      </c>
      <c r="U50" s="14">
        <v>22.0539781698616</v>
      </c>
      <c r="V50" s="16">
        <v>0.06792539796866792</v>
      </c>
      <c r="Y50" s="14">
        <v>870</v>
      </c>
      <c r="Z50" s="15">
        <v>0.48333333333333334</v>
      </c>
      <c r="AA50" s="14">
        <v>0</v>
      </c>
      <c r="AB50" s="14">
        <v>64.75975</v>
      </c>
      <c r="AC50" s="14">
        <v>0</v>
      </c>
      <c r="AD50" s="14">
        <v>0</v>
      </c>
      <c r="AE50" s="14">
        <v>9.713962885998189</v>
      </c>
      <c r="AF50" s="14">
        <v>74.47371288599818</v>
      </c>
      <c r="AG50" s="16">
        <v>0.22937614914749344</v>
      </c>
      <c r="AJ50" s="14">
        <v>745</v>
      </c>
      <c r="AK50" s="15">
        <v>0.41388888888888886</v>
      </c>
      <c r="AL50" s="14">
        <v>2</v>
      </c>
      <c r="AM50" s="14">
        <v>53.799327777777776</v>
      </c>
      <c r="AN50" s="14">
        <v>134.9</v>
      </c>
      <c r="AO50" s="14">
        <v>9.693470703125</v>
      </c>
      <c r="AP50" s="14">
        <v>29.75892095464864</v>
      </c>
      <c r="AQ50" s="14">
        <v>228.15171943555143</v>
      </c>
      <c r="AR50" s="16">
        <v>0.7026984528838387</v>
      </c>
      <c r="AU50" s="14">
        <v>0</v>
      </c>
      <c r="AV50" s="15">
        <v>0</v>
      </c>
      <c r="AW50" s="14">
        <v>0</v>
      </c>
      <c r="AX50" s="14">
        <v>0</v>
      </c>
      <c r="AY50" s="14">
        <v>0</v>
      </c>
      <c r="AZ50" s="14">
        <v>0</v>
      </c>
      <c r="BA50" s="14">
        <v>0</v>
      </c>
      <c r="BB50" s="14">
        <v>0</v>
      </c>
      <c r="BC50" s="16">
        <v>0</v>
      </c>
    </row>
    <row r="51" spans="1:55" ht="12.75">
      <c r="A51" s="23" t="s">
        <v>526</v>
      </c>
      <c r="B51" s="19" t="s">
        <v>527</v>
      </c>
      <c r="C51" s="14">
        <v>1695</v>
      </c>
      <c r="D51" s="15">
        <v>0.9416666666666667</v>
      </c>
      <c r="E51" s="14">
        <v>2</v>
      </c>
      <c r="F51" s="14">
        <v>125.04949444444443</v>
      </c>
      <c r="G51" s="14">
        <v>1</v>
      </c>
      <c r="H51" s="14">
        <v>9.693470703125</v>
      </c>
      <c r="I51" s="14">
        <v>20.36144558122654</v>
      </c>
      <c r="J51" s="14">
        <v>156.10441072879598</v>
      </c>
      <c r="K51" s="22"/>
      <c r="N51" s="14">
        <v>255</v>
      </c>
      <c r="O51" s="15">
        <v>0.14166666666666666</v>
      </c>
      <c r="P51" s="14">
        <v>0</v>
      </c>
      <c r="Q51" s="14">
        <v>19.66798888888889</v>
      </c>
      <c r="R51" s="14">
        <v>0</v>
      </c>
      <c r="S51" s="14">
        <v>0</v>
      </c>
      <c r="T51" s="14">
        <v>2.9501984505636822</v>
      </c>
      <c r="U51" s="14">
        <v>22.61818733945257</v>
      </c>
      <c r="V51" s="16">
        <v>0.14489140463012093</v>
      </c>
      <c r="Y51" s="14">
        <v>850</v>
      </c>
      <c r="Z51" s="15">
        <v>0.4722222222222222</v>
      </c>
      <c r="AA51" s="14">
        <v>0</v>
      </c>
      <c r="AB51" s="14">
        <v>63.80238333333333</v>
      </c>
      <c r="AC51" s="14">
        <v>0</v>
      </c>
      <c r="AD51" s="14">
        <v>0</v>
      </c>
      <c r="AE51" s="14">
        <v>9.57035788029184</v>
      </c>
      <c r="AF51" s="14">
        <v>73.37274121362518</v>
      </c>
      <c r="AG51" s="16">
        <v>0.4700234981899226</v>
      </c>
      <c r="AJ51" s="14">
        <v>590</v>
      </c>
      <c r="AK51" s="15">
        <v>0.3277777777777778</v>
      </c>
      <c r="AL51" s="14">
        <v>2</v>
      </c>
      <c r="AM51" s="14">
        <v>41.57912222222221</v>
      </c>
      <c r="AN51" s="14">
        <v>1</v>
      </c>
      <c r="AO51" s="14">
        <v>9.693470703125</v>
      </c>
      <c r="AP51" s="14">
        <v>7.840889250371015</v>
      </c>
      <c r="AQ51" s="14">
        <v>60.113482175718225</v>
      </c>
      <c r="AR51" s="16">
        <v>0.38508509717995637</v>
      </c>
      <c r="AU51" s="14">
        <v>0</v>
      </c>
      <c r="AV51" s="15">
        <v>0</v>
      </c>
      <c r="AW51" s="14">
        <v>0</v>
      </c>
      <c r="AX51" s="14">
        <v>0</v>
      </c>
      <c r="AY51" s="14">
        <v>0</v>
      </c>
      <c r="AZ51" s="14">
        <v>0</v>
      </c>
      <c r="BA51" s="14">
        <v>0</v>
      </c>
      <c r="BB51" s="14">
        <v>0</v>
      </c>
      <c r="BC51" s="16">
        <v>0</v>
      </c>
    </row>
    <row r="52" spans="1:55" ht="12.75">
      <c r="A52" s="23" t="s">
        <v>528</v>
      </c>
      <c r="B52" s="19" t="s">
        <v>529</v>
      </c>
      <c r="C52" s="14">
        <v>0</v>
      </c>
      <c r="D52" s="15">
        <v>0</v>
      </c>
      <c r="E52" s="14">
        <v>0</v>
      </c>
      <c r="F52" s="14">
        <v>0</v>
      </c>
      <c r="G52" s="14">
        <v>0</v>
      </c>
      <c r="H52" s="14">
        <v>0</v>
      </c>
      <c r="I52" s="14">
        <v>0</v>
      </c>
      <c r="J52" s="14">
        <v>0</v>
      </c>
      <c r="K52" s="22"/>
      <c r="N52" s="14">
        <v>0</v>
      </c>
      <c r="O52" s="15">
        <v>0</v>
      </c>
      <c r="P52" s="14">
        <v>0</v>
      </c>
      <c r="Q52" s="14">
        <v>0</v>
      </c>
      <c r="R52" s="14">
        <v>0</v>
      </c>
      <c r="S52" s="14">
        <v>0</v>
      </c>
      <c r="T52" s="14">
        <v>0</v>
      </c>
      <c r="U52" s="14">
        <v>0</v>
      </c>
      <c r="V52" s="16">
        <v>0</v>
      </c>
      <c r="Y52" s="14">
        <v>0</v>
      </c>
      <c r="Z52" s="15">
        <v>0</v>
      </c>
      <c r="AA52" s="14">
        <v>0</v>
      </c>
      <c r="AB52" s="14">
        <v>0</v>
      </c>
      <c r="AC52" s="14">
        <v>0</v>
      </c>
      <c r="AD52" s="14">
        <v>0</v>
      </c>
      <c r="AE52" s="14">
        <v>0</v>
      </c>
      <c r="AF52" s="14">
        <v>0</v>
      </c>
      <c r="AG52" s="16">
        <v>0</v>
      </c>
      <c r="AJ52" s="14">
        <v>0</v>
      </c>
      <c r="AK52" s="15">
        <v>0</v>
      </c>
      <c r="AL52" s="14">
        <v>0</v>
      </c>
      <c r="AM52" s="14">
        <v>0</v>
      </c>
      <c r="AN52" s="14">
        <v>0</v>
      </c>
      <c r="AO52" s="14">
        <v>0</v>
      </c>
      <c r="AP52" s="14">
        <v>0</v>
      </c>
      <c r="AQ52" s="14">
        <v>0</v>
      </c>
      <c r="AR52" s="16">
        <v>0</v>
      </c>
      <c r="AU52" s="14">
        <v>0</v>
      </c>
      <c r="AV52" s="15">
        <v>0</v>
      </c>
      <c r="AW52" s="14">
        <v>0</v>
      </c>
      <c r="AX52" s="14">
        <v>0</v>
      </c>
      <c r="AY52" s="14">
        <v>0</v>
      </c>
      <c r="AZ52" s="14">
        <v>0</v>
      </c>
      <c r="BA52" s="14">
        <v>0</v>
      </c>
      <c r="BB52" s="14">
        <v>0</v>
      </c>
      <c r="BC52" s="16">
        <v>0</v>
      </c>
    </row>
    <row r="53" spans="1:55" ht="12.75">
      <c r="A53" s="23">
        <v>4.4</v>
      </c>
      <c r="B53" s="19" t="s">
        <v>530</v>
      </c>
      <c r="K53" s="22"/>
      <c r="V53" s="22"/>
      <c r="AG53" s="22"/>
      <c r="AR53" s="22"/>
      <c r="BC53" s="22"/>
    </row>
    <row r="54" spans="1:55" ht="12.75">
      <c r="A54" s="23" t="s">
        <v>531</v>
      </c>
      <c r="B54" s="19" t="s">
        <v>532</v>
      </c>
      <c r="C54" s="14">
        <v>180</v>
      </c>
      <c r="D54" s="15">
        <v>0.1</v>
      </c>
      <c r="E54" s="14">
        <v>0</v>
      </c>
      <c r="F54" s="14">
        <v>16.152866666666668</v>
      </c>
      <c r="G54" s="14">
        <v>0</v>
      </c>
      <c r="H54" s="14">
        <v>0</v>
      </c>
      <c r="I54" s="14">
        <v>5.168917217799027</v>
      </c>
      <c r="J54" s="14">
        <v>21.321783884465695</v>
      </c>
      <c r="K54" s="22"/>
      <c r="N54" s="14">
        <v>0</v>
      </c>
      <c r="O54" s="15">
        <v>0</v>
      </c>
      <c r="P54" s="14">
        <v>0</v>
      </c>
      <c r="Q54" s="14">
        <v>0</v>
      </c>
      <c r="R54" s="14">
        <v>0</v>
      </c>
      <c r="S54" s="14">
        <v>0</v>
      </c>
      <c r="T54" s="14">
        <v>0</v>
      </c>
      <c r="U54" s="14">
        <v>0</v>
      </c>
      <c r="V54" s="16">
        <v>0</v>
      </c>
      <c r="Y54" s="14">
        <v>140</v>
      </c>
      <c r="Z54" s="15">
        <v>0.07777777777777778</v>
      </c>
      <c r="AA54" s="14">
        <v>0</v>
      </c>
      <c r="AB54" s="14">
        <v>12.738555555555555</v>
      </c>
      <c r="AC54" s="14">
        <v>0</v>
      </c>
      <c r="AD54" s="14">
        <v>0</v>
      </c>
      <c r="AE54" s="14">
        <v>4.0763376866645284</v>
      </c>
      <c r="AF54" s="14">
        <v>16.814893242220084</v>
      </c>
      <c r="AG54" s="16">
        <v>0.7886250668955905</v>
      </c>
      <c r="AJ54" s="14">
        <v>40</v>
      </c>
      <c r="AK54" s="15">
        <v>0.022222222222222223</v>
      </c>
      <c r="AL54" s="14">
        <v>0</v>
      </c>
      <c r="AM54" s="14">
        <v>3.414311111111111</v>
      </c>
      <c r="AN54" s="14">
        <v>0</v>
      </c>
      <c r="AO54" s="14">
        <v>0</v>
      </c>
      <c r="AP54" s="14">
        <v>1.0925795311344992</v>
      </c>
      <c r="AQ54" s="14">
        <v>4.50689064224561</v>
      </c>
      <c r="AR54" s="16">
        <v>0.21137493310440936</v>
      </c>
      <c r="AU54" s="14">
        <v>0</v>
      </c>
      <c r="AV54" s="15">
        <v>0</v>
      </c>
      <c r="AW54" s="14">
        <v>0</v>
      </c>
      <c r="AX54" s="14">
        <v>0</v>
      </c>
      <c r="AY54" s="14">
        <v>0</v>
      </c>
      <c r="AZ54" s="14">
        <v>0</v>
      </c>
      <c r="BA54" s="14">
        <v>0</v>
      </c>
      <c r="BB54" s="14">
        <v>0</v>
      </c>
      <c r="BC54" s="16">
        <v>0</v>
      </c>
    </row>
    <row r="55" spans="1:55" ht="12.75">
      <c r="A55" s="23" t="s">
        <v>533</v>
      </c>
      <c r="B55" s="19" t="s">
        <v>534</v>
      </c>
      <c r="C55" s="14">
        <v>980</v>
      </c>
      <c r="D55" s="15">
        <v>0.5444444444444444</v>
      </c>
      <c r="E55" s="14">
        <v>0</v>
      </c>
      <c r="F55" s="14">
        <v>77.77846666666667</v>
      </c>
      <c r="G55" s="14">
        <v>0</v>
      </c>
      <c r="H55" s="14">
        <v>0</v>
      </c>
      <c r="I55" s="14">
        <v>24.889108777018386</v>
      </c>
      <c r="J55" s="14">
        <v>102.66757544368505</v>
      </c>
      <c r="K55" s="22"/>
      <c r="N55" s="14">
        <v>140</v>
      </c>
      <c r="O55" s="15">
        <v>0.07777777777777778</v>
      </c>
      <c r="P55" s="14">
        <v>0</v>
      </c>
      <c r="Q55" s="14">
        <v>11.567122222222222</v>
      </c>
      <c r="R55" s="14">
        <v>0</v>
      </c>
      <c r="S55" s="14">
        <v>0</v>
      </c>
      <c r="T55" s="14">
        <v>3.7014790283766055</v>
      </c>
      <c r="U55" s="14">
        <v>15.268601250598827</v>
      </c>
      <c r="V55" s="16">
        <v>0.14871882563325867</v>
      </c>
      <c r="Y55" s="14">
        <v>420</v>
      </c>
      <c r="Z55" s="15">
        <v>0.23333333333333334</v>
      </c>
      <c r="AA55" s="14">
        <v>0</v>
      </c>
      <c r="AB55" s="14">
        <v>33.1695</v>
      </c>
      <c r="AC55" s="14">
        <v>0</v>
      </c>
      <c r="AD55" s="14">
        <v>0</v>
      </c>
      <c r="AE55" s="14">
        <v>10.614239762753249</v>
      </c>
      <c r="AF55" s="14">
        <v>43.78373976275325</v>
      </c>
      <c r="AG55" s="16">
        <v>0.4264612227720269</v>
      </c>
      <c r="AJ55" s="14">
        <v>420</v>
      </c>
      <c r="AK55" s="15">
        <v>0.23333333333333334</v>
      </c>
      <c r="AL55" s="14">
        <v>0</v>
      </c>
      <c r="AM55" s="14">
        <v>33.04184444444444</v>
      </c>
      <c r="AN55" s="14">
        <v>0</v>
      </c>
      <c r="AO55" s="14">
        <v>0</v>
      </c>
      <c r="AP55" s="14">
        <v>10.573389985888534</v>
      </c>
      <c r="AQ55" s="14">
        <v>43.615234430332976</v>
      </c>
      <c r="AR55" s="16">
        <v>0.4248199515947144</v>
      </c>
      <c r="AU55" s="14">
        <v>0</v>
      </c>
      <c r="AV55" s="15">
        <v>0</v>
      </c>
      <c r="AW55" s="14">
        <v>0</v>
      </c>
      <c r="AX55" s="14">
        <v>0</v>
      </c>
      <c r="AY55" s="14">
        <v>0</v>
      </c>
      <c r="AZ55" s="14">
        <v>0</v>
      </c>
      <c r="BA55" s="14">
        <v>0</v>
      </c>
      <c r="BB55" s="14">
        <v>0</v>
      </c>
      <c r="BC55" s="16">
        <v>0</v>
      </c>
    </row>
    <row r="56" spans="1:55" ht="12.75">
      <c r="A56" s="23" t="s">
        <v>535</v>
      </c>
      <c r="B56" s="19" t="s">
        <v>536</v>
      </c>
      <c r="C56" s="14">
        <v>4560</v>
      </c>
      <c r="D56" s="15">
        <v>2.533333333333333</v>
      </c>
      <c r="E56" s="14">
        <v>0</v>
      </c>
      <c r="F56" s="14">
        <v>265.5218</v>
      </c>
      <c r="G56" s="14">
        <v>0</v>
      </c>
      <c r="H56" s="14">
        <v>0</v>
      </c>
      <c r="I56" s="14">
        <v>100.89828273389341</v>
      </c>
      <c r="J56" s="14">
        <v>366.4200827338934</v>
      </c>
      <c r="K56" s="22"/>
      <c r="N56" s="14">
        <v>230</v>
      </c>
      <c r="O56" s="15">
        <v>0.12777777777777777</v>
      </c>
      <c r="P56" s="14">
        <v>0</v>
      </c>
      <c r="Q56" s="14">
        <v>18.611044444444445</v>
      </c>
      <c r="R56" s="14">
        <v>0</v>
      </c>
      <c r="S56" s="14">
        <v>0</v>
      </c>
      <c r="T56" s="14">
        <v>7.072196800144513</v>
      </c>
      <c r="U56" s="14">
        <v>25.68324124458896</v>
      </c>
      <c r="V56" s="16">
        <v>0.07009234060798189</v>
      </c>
      <c r="Y56" s="14">
        <v>650</v>
      </c>
      <c r="Z56" s="15">
        <v>0.3611111111111111</v>
      </c>
      <c r="AA56" s="14">
        <v>0</v>
      </c>
      <c r="AB56" s="14">
        <v>51.39757777777778</v>
      </c>
      <c r="AC56" s="14">
        <v>0</v>
      </c>
      <c r="AD56" s="14">
        <v>0</v>
      </c>
      <c r="AE56" s="14">
        <v>19.53107931047281</v>
      </c>
      <c r="AF56" s="14">
        <v>70.92865708825059</v>
      </c>
      <c r="AG56" s="16">
        <v>0.19357196952482913</v>
      </c>
      <c r="AJ56" s="14">
        <v>3680</v>
      </c>
      <c r="AK56" s="15">
        <v>2.0444444444444443</v>
      </c>
      <c r="AL56" s="14">
        <v>0</v>
      </c>
      <c r="AM56" s="14">
        <v>195.5131777777778</v>
      </c>
      <c r="AN56" s="14">
        <v>0</v>
      </c>
      <c r="AO56" s="14">
        <v>0</v>
      </c>
      <c r="AP56" s="14">
        <v>74.29500662327608</v>
      </c>
      <c r="AQ56" s="14">
        <v>269.8081844010539</v>
      </c>
      <c r="AR56" s="16">
        <v>0.736335689867189</v>
      </c>
      <c r="AU56" s="14">
        <v>0</v>
      </c>
      <c r="AV56" s="15">
        <v>0</v>
      </c>
      <c r="AW56" s="14">
        <v>0</v>
      </c>
      <c r="AX56" s="14">
        <v>0</v>
      </c>
      <c r="AY56" s="14">
        <v>0</v>
      </c>
      <c r="AZ56" s="14">
        <v>0</v>
      </c>
      <c r="BA56" s="14">
        <v>0</v>
      </c>
      <c r="BB56" s="14">
        <v>0</v>
      </c>
      <c r="BC56" s="16">
        <v>0</v>
      </c>
    </row>
    <row r="57" spans="1:55" ht="12.75">
      <c r="A57" s="23" t="s">
        <v>537</v>
      </c>
      <c r="B57" s="19" t="s">
        <v>538</v>
      </c>
      <c r="C57" s="14">
        <v>3755</v>
      </c>
      <c r="D57" s="15">
        <v>2.0861111111111112</v>
      </c>
      <c r="E57" s="14">
        <v>0</v>
      </c>
      <c r="F57" s="14">
        <v>223.1987388888889</v>
      </c>
      <c r="G57" s="14">
        <v>0</v>
      </c>
      <c r="H57" s="14">
        <v>0</v>
      </c>
      <c r="I57" s="14">
        <v>84.81551971348325</v>
      </c>
      <c r="J57" s="14">
        <v>308.01425860237214</v>
      </c>
      <c r="K57" s="22"/>
      <c r="N57" s="14">
        <v>240</v>
      </c>
      <c r="O57" s="15">
        <v>0.13333333333333333</v>
      </c>
      <c r="P57" s="14">
        <v>0</v>
      </c>
      <c r="Q57" s="14">
        <v>19.847588888888886</v>
      </c>
      <c r="R57" s="14">
        <v>0</v>
      </c>
      <c r="S57" s="14">
        <v>0</v>
      </c>
      <c r="T57" s="14">
        <v>7.542083683137099</v>
      </c>
      <c r="U57" s="14">
        <v>27.389672572025987</v>
      </c>
      <c r="V57" s="16">
        <v>0.08892339171669453</v>
      </c>
      <c r="Y57" s="14">
        <v>495</v>
      </c>
      <c r="Z57" s="15">
        <v>0.275</v>
      </c>
      <c r="AA57" s="14">
        <v>0</v>
      </c>
      <c r="AB57" s="14">
        <v>35.933150000000005</v>
      </c>
      <c r="AC57" s="14">
        <v>0</v>
      </c>
      <c r="AD57" s="14">
        <v>0</v>
      </c>
      <c r="AE57" s="14">
        <v>13.65459682865739</v>
      </c>
      <c r="AF57" s="14">
        <v>49.587746828657394</v>
      </c>
      <c r="AG57" s="16">
        <v>0.16099172503787296</v>
      </c>
      <c r="AJ57" s="14">
        <v>3020</v>
      </c>
      <c r="AK57" s="15">
        <v>1.6777777777777778</v>
      </c>
      <c r="AL57" s="14">
        <v>0</v>
      </c>
      <c r="AM57" s="14">
        <v>167.418</v>
      </c>
      <c r="AN57" s="14">
        <v>0</v>
      </c>
      <c r="AO57" s="14">
        <v>0</v>
      </c>
      <c r="AP57" s="14">
        <v>63.618839201688765</v>
      </c>
      <c r="AQ57" s="14">
        <v>231.03683920168876</v>
      </c>
      <c r="AR57" s="16">
        <v>0.7500848832454325</v>
      </c>
      <c r="AU57" s="14">
        <v>0</v>
      </c>
      <c r="AV57" s="15">
        <v>0</v>
      </c>
      <c r="AW57" s="14">
        <v>0</v>
      </c>
      <c r="AX57" s="14">
        <v>0</v>
      </c>
      <c r="AY57" s="14">
        <v>0</v>
      </c>
      <c r="AZ57" s="14">
        <v>0</v>
      </c>
      <c r="BA57" s="14">
        <v>0</v>
      </c>
      <c r="BB57" s="14">
        <v>0</v>
      </c>
      <c r="BC57" s="16">
        <v>0</v>
      </c>
    </row>
    <row r="58" spans="1:55" ht="12.75">
      <c r="A58" s="23" t="s">
        <v>539</v>
      </c>
      <c r="B58" s="19" t="s">
        <v>540</v>
      </c>
      <c r="C58" s="14">
        <v>760</v>
      </c>
      <c r="D58" s="15">
        <v>0.4222222222222222</v>
      </c>
      <c r="E58" s="14">
        <v>0</v>
      </c>
      <c r="F58" s="14">
        <v>57.45463333333333</v>
      </c>
      <c r="G58" s="14">
        <v>179.735</v>
      </c>
      <c r="H58" s="14">
        <v>0</v>
      </c>
      <c r="I58" s="14">
        <v>87.38658742656311</v>
      </c>
      <c r="J58" s="14">
        <v>324.57622075989644</v>
      </c>
      <c r="K58" s="22"/>
      <c r="N58" s="14">
        <v>60</v>
      </c>
      <c r="O58" s="15">
        <v>0.03333333333333333</v>
      </c>
      <c r="P58" s="14">
        <v>0</v>
      </c>
      <c r="Q58" s="14">
        <v>5.121466666666667</v>
      </c>
      <c r="R58" s="14">
        <v>0</v>
      </c>
      <c r="S58" s="14">
        <v>0</v>
      </c>
      <c r="T58" s="14">
        <v>1.638869296701749</v>
      </c>
      <c r="U58" s="14">
        <v>6.760335963368416</v>
      </c>
      <c r="V58" s="16">
        <v>0.020828192365852146</v>
      </c>
      <c r="Y58" s="14">
        <v>500</v>
      </c>
      <c r="Z58" s="15">
        <v>0.2777777777777778</v>
      </c>
      <c r="AA58" s="14">
        <v>0</v>
      </c>
      <c r="AB58" s="14">
        <v>40.636399999999995</v>
      </c>
      <c r="AC58" s="14">
        <v>0</v>
      </c>
      <c r="AD58" s="14">
        <v>0</v>
      </c>
      <c r="AE58" s="14">
        <v>13.003647709345817</v>
      </c>
      <c r="AF58" s="14">
        <v>53.64004770934581</v>
      </c>
      <c r="AG58" s="16">
        <v>0.16526179146384773</v>
      </c>
      <c r="AJ58" s="14">
        <v>200</v>
      </c>
      <c r="AK58" s="15">
        <v>0.1111111111111111</v>
      </c>
      <c r="AL58" s="14">
        <v>0</v>
      </c>
      <c r="AM58" s="14">
        <v>11.696766666666667</v>
      </c>
      <c r="AN58" s="14">
        <v>179.735</v>
      </c>
      <c r="AO58" s="14">
        <v>0</v>
      </c>
      <c r="AP58" s="14">
        <v>72.74407042051554</v>
      </c>
      <c r="AQ58" s="14">
        <v>264.17583708718223</v>
      </c>
      <c r="AR58" s="16">
        <v>0.8139100161703001</v>
      </c>
      <c r="AU58" s="14">
        <v>0</v>
      </c>
      <c r="AV58" s="15">
        <v>0</v>
      </c>
      <c r="AW58" s="14">
        <v>0</v>
      </c>
      <c r="AX58" s="14">
        <v>0</v>
      </c>
      <c r="AY58" s="14">
        <v>0</v>
      </c>
      <c r="AZ58" s="14">
        <v>0</v>
      </c>
      <c r="BA58" s="14">
        <v>0</v>
      </c>
      <c r="BB58" s="14">
        <v>0</v>
      </c>
      <c r="BC58" s="16">
        <v>0</v>
      </c>
    </row>
    <row r="59" spans="1:55" ht="12.75">
      <c r="A59" s="23" t="s">
        <v>541</v>
      </c>
      <c r="B59" s="19" t="s">
        <v>542</v>
      </c>
      <c r="C59" s="14">
        <v>760</v>
      </c>
      <c r="D59" s="15">
        <v>0.4222222222222222</v>
      </c>
      <c r="E59" s="14">
        <v>0</v>
      </c>
      <c r="F59" s="14">
        <v>56.56104444444445</v>
      </c>
      <c r="G59" s="14">
        <v>49.44</v>
      </c>
      <c r="H59" s="14">
        <v>0</v>
      </c>
      <c r="I59" s="14">
        <v>37.58853960980508</v>
      </c>
      <c r="J59" s="14">
        <v>143.58958405424954</v>
      </c>
      <c r="K59" s="22"/>
      <c r="N59" s="14">
        <v>160</v>
      </c>
      <c r="O59" s="15">
        <v>0.08888888888888889</v>
      </c>
      <c r="P59" s="14">
        <v>0</v>
      </c>
      <c r="Q59" s="14">
        <v>13.274277777777778</v>
      </c>
      <c r="R59" s="14">
        <v>0</v>
      </c>
      <c r="S59" s="14">
        <v>0</v>
      </c>
      <c r="T59" s="14">
        <v>4.247768793943855</v>
      </c>
      <c r="U59" s="14">
        <v>17.52204657172163</v>
      </c>
      <c r="V59" s="16">
        <v>0.1220286742045414</v>
      </c>
      <c r="Y59" s="14">
        <v>400</v>
      </c>
      <c r="Z59" s="15">
        <v>0.2222222222222222</v>
      </c>
      <c r="AA59" s="14">
        <v>0</v>
      </c>
      <c r="AB59" s="14">
        <v>31.59</v>
      </c>
      <c r="AC59" s="14">
        <v>0</v>
      </c>
      <c r="AD59" s="14">
        <v>0</v>
      </c>
      <c r="AE59" s="14">
        <v>10.108799774050713</v>
      </c>
      <c r="AF59" s="14">
        <v>41.69879977405071</v>
      </c>
      <c r="AG59" s="16">
        <v>0.2904026782213987</v>
      </c>
      <c r="AJ59" s="14">
        <v>200</v>
      </c>
      <c r="AK59" s="15">
        <v>0.1111111111111111</v>
      </c>
      <c r="AL59" s="14">
        <v>0</v>
      </c>
      <c r="AM59" s="14">
        <v>11.696766666666667</v>
      </c>
      <c r="AN59" s="14">
        <v>49.44</v>
      </c>
      <c r="AO59" s="14">
        <v>0</v>
      </c>
      <c r="AP59" s="14">
        <v>23.23197104181051</v>
      </c>
      <c r="AQ59" s="14">
        <v>84.36873770847717</v>
      </c>
      <c r="AR59" s="16">
        <v>0.5875686475740597</v>
      </c>
      <c r="AU59" s="14">
        <v>0</v>
      </c>
      <c r="AV59" s="15">
        <v>0</v>
      </c>
      <c r="AW59" s="14">
        <v>0</v>
      </c>
      <c r="AX59" s="14">
        <v>0</v>
      </c>
      <c r="AY59" s="14">
        <v>0</v>
      </c>
      <c r="AZ59" s="14">
        <v>0</v>
      </c>
      <c r="BA59" s="14">
        <v>0</v>
      </c>
      <c r="BB59" s="14">
        <v>0</v>
      </c>
      <c r="BC59" s="16">
        <v>0</v>
      </c>
    </row>
    <row r="60" spans="1:55" ht="12.75">
      <c r="A60" s="23" t="s">
        <v>543</v>
      </c>
      <c r="B60" s="19" t="s">
        <v>544</v>
      </c>
      <c r="C60" s="14">
        <v>320</v>
      </c>
      <c r="D60" s="15">
        <v>0.17777777777777778</v>
      </c>
      <c r="E60" s="14">
        <v>0</v>
      </c>
      <c r="F60" s="14">
        <v>25.49062222222222</v>
      </c>
      <c r="G60" s="14">
        <v>52.53</v>
      </c>
      <c r="H60" s="14">
        <v>0</v>
      </c>
      <c r="I60" s="14">
        <v>28.244462683314747</v>
      </c>
      <c r="J60" s="14">
        <v>106.26508490553697</v>
      </c>
      <c r="K60" s="22"/>
      <c r="N60" s="14">
        <v>0</v>
      </c>
      <c r="O60" s="15">
        <v>0</v>
      </c>
      <c r="P60" s="14">
        <v>0</v>
      </c>
      <c r="Q60" s="14">
        <v>0</v>
      </c>
      <c r="R60" s="14">
        <v>0</v>
      </c>
      <c r="S60" s="14">
        <v>0</v>
      </c>
      <c r="T60" s="14">
        <v>0</v>
      </c>
      <c r="U60" s="14">
        <v>0</v>
      </c>
      <c r="V60" s="16">
        <v>0</v>
      </c>
      <c r="Y60" s="14">
        <v>280</v>
      </c>
      <c r="Z60" s="15">
        <v>0.15555555555555556</v>
      </c>
      <c r="AA60" s="14">
        <v>0</v>
      </c>
      <c r="AB60" s="14">
        <v>23.389555555555553</v>
      </c>
      <c r="AC60" s="14">
        <v>0</v>
      </c>
      <c r="AD60" s="14">
        <v>0</v>
      </c>
      <c r="AE60" s="14">
        <v>7.484657610482639</v>
      </c>
      <c r="AF60" s="14">
        <v>30.874213166038192</v>
      </c>
      <c r="AG60" s="16">
        <v>0.29053958027214155</v>
      </c>
      <c r="AJ60" s="14">
        <v>40</v>
      </c>
      <c r="AK60" s="15">
        <v>0.022222222222222223</v>
      </c>
      <c r="AL60" s="14">
        <v>0</v>
      </c>
      <c r="AM60" s="14">
        <v>2.1010666666666666</v>
      </c>
      <c r="AN60" s="14">
        <v>52.53</v>
      </c>
      <c r="AO60" s="14">
        <v>0</v>
      </c>
      <c r="AP60" s="14">
        <v>20.75980507283211</v>
      </c>
      <c r="AQ60" s="14">
        <v>75.39087173949878</v>
      </c>
      <c r="AR60" s="16">
        <v>0.7094604197278586</v>
      </c>
      <c r="AU60" s="14">
        <v>0</v>
      </c>
      <c r="AV60" s="15">
        <v>0</v>
      </c>
      <c r="AW60" s="14">
        <v>0</v>
      </c>
      <c r="AX60" s="14">
        <v>0</v>
      </c>
      <c r="AY60" s="14">
        <v>0</v>
      </c>
      <c r="AZ60" s="14">
        <v>0</v>
      </c>
      <c r="BA60" s="14">
        <v>0</v>
      </c>
      <c r="BB60" s="14">
        <v>0</v>
      </c>
      <c r="BC60" s="16">
        <v>0</v>
      </c>
    </row>
    <row r="61" spans="1:55" ht="12.75">
      <c r="A61" s="23" t="s">
        <v>545</v>
      </c>
      <c r="B61" s="19" t="s">
        <v>546</v>
      </c>
      <c r="C61" s="14">
        <v>760</v>
      </c>
      <c r="D61" s="15">
        <v>0.4222222222222222</v>
      </c>
      <c r="E61" s="14">
        <v>0</v>
      </c>
      <c r="F61" s="14">
        <v>60.69156666666667</v>
      </c>
      <c r="G61" s="14">
        <v>0</v>
      </c>
      <c r="H61" s="14">
        <v>0</v>
      </c>
      <c r="I61" s="14">
        <v>19.421300899233422</v>
      </c>
      <c r="J61" s="14">
        <v>80.11286756590009</v>
      </c>
      <c r="K61" s="22"/>
      <c r="N61" s="14">
        <v>160</v>
      </c>
      <c r="O61" s="15">
        <v>0.08888888888888889</v>
      </c>
      <c r="P61" s="14">
        <v>0</v>
      </c>
      <c r="Q61" s="14">
        <v>13.018966666666667</v>
      </c>
      <c r="R61" s="14">
        <v>0</v>
      </c>
      <c r="S61" s="14">
        <v>0</v>
      </c>
      <c r="T61" s="14">
        <v>4.166069240214428</v>
      </c>
      <c r="U61" s="14">
        <v>17.185035906881097</v>
      </c>
      <c r="V61" s="16">
        <v>0.21451030813177233</v>
      </c>
      <c r="Y61" s="14">
        <v>480</v>
      </c>
      <c r="Z61" s="15">
        <v>0.26666666666666666</v>
      </c>
      <c r="AA61" s="14">
        <v>0</v>
      </c>
      <c r="AB61" s="14">
        <v>39.43986666666667</v>
      </c>
      <c r="AC61" s="14">
        <v>0</v>
      </c>
      <c r="AD61" s="14">
        <v>0</v>
      </c>
      <c r="AE61" s="14">
        <v>12.620757051237424</v>
      </c>
      <c r="AF61" s="14">
        <v>52.06062371790409</v>
      </c>
      <c r="AG61" s="16">
        <v>0.6498409718648445</v>
      </c>
      <c r="AJ61" s="14">
        <v>120</v>
      </c>
      <c r="AK61" s="15">
        <v>0.06666666666666667</v>
      </c>
      <c r="AL61" s="14">
        <v>0</v>
      </c>
      <c r="AM61" s="14">
        <v>8.232733333333334</v>
      </c>
      <c r="AN61" s="14">
        <v>0</v>
      </c>
      <c r="AO61" s="14">
        <v>0</v>
      </c>
      <c r="AP61" s="14">
        <v>2.6344746077815695</v>
      </c>
      <c r="AQ61" s="14">
        <v>10.867207941114904</v>
      </c>
      <c r="AR61" s="16">
        <v>0.13564872000338324</v>
      </c>
      <c r="AU61" s="14">
        <v>0</v>
      </c>
      <c r="AV61" s="15">
        <v>0</v>
      </c>
      <c r="AW61" s="14">
        <v>0</v>
      </c>
      <c r="AX61" s="14">
        <v>0</v>
      </c>
      <c r="AY61" s="14">
        <v>0</v>
      </c>
      <c r="AZ61" s="14">
        <v>0</v>
      </c>
      <c r="BA61" s="14">
        <v>0</v>
      </c>
      <c r="BB61" s="14">
        <v>0</v>
      </c>
      <c r="BC61" s="16">
        <v>0</v>
      </c>
    </row>
    <row r="62" spans="1:55" ht="12.75">
      <c r="A62" s="13">
        <v>4.5</v>
      </c>
      <c r="B62" s="19" t="s">
        <v>547</v>
      </c>
      <c r="K62" s="22"/>
      <c r="V62" s="22"/>
      <c r="AG62" s="22"/>
      <c r="AR62" s="22"/>
      <c r="BC62" s="22"/>
    </row>
    <row r="63" spans="1:55" ht="12.75">
      <c r="A63" s="23" t="s">
        <v>548</v>
      </c>
      <c r="B63" s="19" t="s">
        <v>549</v>
      </c>
      <c r="C63" s="14">
        <v>13778.79995727539</v>
      </c>
      <c r="D63" s="15">
        <v>7.654888865152995</v>
      </c>
      <c r="E63" s="14">
        <v>5</v>
      </c>
      <c r="F63" s="14">
        <v>667.3105900299411</v>
      </c>
      <c r="G63" s="14">
        <v>1067.3220000000001</v>
      </c>
      <c r="H63" s="14">
        <v>15.878675537109377</v>
      </c>
      <c r="I63" s="14">
        <v>490.14315644554625</v>
      </c>
      <c r="J63" s="14">
        <v>2240.6544220125966</v>
      </c>
      <c r="K63" s="22"/>
      <c r="N63" s="14">
        <v>3036.6000061035156</v>
      </c>
      <c r="O63" s="15">
        <v>1.687000003390842</v>
      </c>
      <c r="P63" s="14">
        <v>0</v>
      </c>
      <c r="Q63" s="14">
        <v>146.72984348778618</v>
      </c>
      <c r="R63" s="14">
        <v>15.862</v>
      </c>
      <c r="S63" s="14">
        <v>0</v>
      </c>
      <c r="T63" s="14">
        <v>45.525716370404716</v>
      </c>
      <c r="U63" s="14">
        <v>208.1175598581909</v>
      </c>
      <c r="V63" s="16">
        <v>0.09288248906819639</v>
      </c>
      <c r="Y63" s="14">
        <v>10154.199951171875</v>
      </c>
      <c r="Z63" s="15">
        <v>5.641222195095486</v>
      </c>
      <c r="AA63" s="14">
        <v>1</v>
      </c>
      <c r="AB63" s="14">
        <v>484.9716843199327</v>
      </c>
      <c r="AC63" s="14">
        <v>28.84</v>
      </c>
      <c r="AD63" s="14">
        <v>2.911735107421875</v>
      </c>
      <c r="AE63" s="14">
        <v>144.6825580556416</v>
      </c>
      <c r="AF63" s="14">
        <v>661.4059774829963</v>
      </c>
      <c r="AG63" s="16">
        <v>0.29518428678033687</v>
      </c>
      <c r="AJ63" s="14">
        <v>588</v>
      </c>
      <c r="AK63" s="15">
        <v>0.32666666666666666</v>
      </c>
      <c r="AL63" s="14">
        <v>4</v>
      </c>
      <c r="AM63" s="14">
        <v>35.60906222222222</v>
      </c>
      <c r="AN63" s="14">
        <v>1022.62</v>
      </c>
      <c r="AO63" s="14">
        <v>12.9669404296875</v>
      </c>
      <c r="AP63" s="14">
        <v>299.9348820194999</v>
      </c>
      <c r="AQ63" s="14">
        <v>1371.1308846714096</v>
      </c>
      <c r="AR63" s="16">
        <v>0.6119332241514668</v>
      </c>
      <c r="AU63" s="14">
        <v>0</v>
      </c>
      <c r="AV63" s="15">
        <v>0</v>
      </c>
      <c r="AW63" s="14">
        <v>0</v>
      </c>
      <c r="AX63" s="14">
        <v>0</v>
      </c>
      <c r="AY63" s="14">
        <v>0</v>
      </c>
      <c r="AZ63" s="14">
        <v>0</v>
      </c>
      <c r="BA63" s="14">
        <v>0</v>
      </c>
      <c r="BB63" s="14">
        <v>0</v>
      </c>
      <c r="BC63" s="16">
        <v>0</v>
      </c>
    </row>
    <row r="64" spans="1:55" ht="12.75">
      <c r="A64" s="23" t="s">
        <v>550</v>
      </c>
      <c r="B64" s="19" t="s">
        <v>551</v>
      </c>
      <c r="C64" s="14">
        <v>3040</v>
      </c>
      <c r="D64" s="15">
        <v>1.6888888888888889</v>
      </c>
      <c r="E64" s="14">
        <v>2</v>
      </c>
      <c r="F64" s="14">
        <v>211.52337777777777</v>
      </c>
      <c r="G64" s="14">
        <v>1483.2</v>
      </c>
      <c r="H64" s="14">
        <v>5.62347021484375</v>
      </c>
      <c r="I64" s="14">
        <v>331.5324564445179</v>
      </c>
      <c r="J64" s="14">
        <v>2031.8793044371396</v>
      </c>
      <c r="K64" s="22"/>
      <c r="N64" s="14">
        <v>320</v>
      </c>
      <c r="O64" s="15">
        <v>0.17777777777777778</v>
      </c>
      <c r="P64" s="14">
        <v>1</v>
      </c>
      <c r="Q64" s="14">
        <v>25.272</v>
      </c>
      <c r="R64" s="14">
        <v>0</v>
      </c>
      <c r="S64" s="14">
        <v>2.811735107421875</v>
      </c>
      <c r="T64" s="14">
        <v>3.3700481375641775</v>
      </c>
      <c r="U64" s="14">
        <v>31.45378324498605</v>
      </c>
      <c r="V64" s="16">
        <v>0.015480143518514358</v>
      </c>
      <c r="Y64" s="14">
        <v>960</v>
      </c>
      <c r="Z64" s="15">
        <v>0.5333333333333333</v>
      </c>
      <c r="AA64" s="14">
        <v>1</v>
      </c>
      <c r="AB64" s="14">
        <v>75.816</v>
      </c>
      <c r="AC64" s="14">
        <v>0</v>
      </c>
      <c r="AD64" s="14">
        <v>2.811735107421875</v>
      </c>
      <c r="AE64" s="14">
        <v>9.435328001994606</v>
      </c>
      <c r="AF64" s="14">
        <v>88.06306310941649</v>
      </c>
      <c r="AG64" s="16">
        <v>0.04334069593459994</v>
      </c>
      <c r="AJ64" s="14">
        <v>1760</v>
      </c>
      <c r="AK64" s="15">
        <v>0.9777777777777777</v>
      </c>
      <c r="AL64" s="14">
        <v>0</v>
      </c>
      <c r="AM64" s="14">
        <v>110.43537777777777</v>
      </c>
      <c r="AN64" s="14">
        <v>1483.2</v>
      </c>
      <c r="AO64" s="14">
        <v>0</v>
      </c>
      <c r="AP64" s="14">
        <v>318.7270803049591</v>
      </c>
      <c r="AQ64" s="14">
        <v>1912.362458082737</v>
      </c>
      <c r="AR64" s="16">
        <v>0.9411791605468857</v>
      </c>
      <c r="AU64" s="14">
        <v>0</v>
      </c>
      <c r="AV64" s="15">
        <v>0</v>
      </c>
      <c r="AW64" s="14">
        <v>0</v>
      </c>
      <c r="AX64" s="14">
        <v>0</v>
      </c>
      <c r="AY64" s="14">
        <v>0</v>
      </c>
      <c r="AZ64" s="14">
        <v>0</v>
      </c>
      <c r="BA64" s="14">
        <v>0</v>
      </c>
      <c r="BB64" s="14">
        <v>0</v>
      </c>
      <c r="BC64" s="16">
        <v>0</v>
      </c>
    </row>
    <row r="65" spans="1:55" ht="12.75">
      <c r="A65" s="13">
        <v>4.6</v>
      </c>
      <c r="B65" s="19" t="s">
        <v>552</v>
      </c>
      <c r="C65" s="14">
        <v>8480</v>
      </c>
      <c r="D65" s="15">
        <v>4.711111111111111</v>
      </c>
      <c r="E65" s="14">
        <v>12</v>
      </c>
      <c r="F65" s="14">
        <v>689.7959333333333</v>
      </c>
      <c r="G65" s="14">
        <v>112.7</v>
      </c>
      <c r="H65" s="14">
        <v>82.670828125</v>
      </c>
      <c r="I65" s="14">
        <v>200.506798319659</v>
      </c>
      <c r="J65" s="14">
        <v>1085.6735597779923</v>
      </c>
      <c r="K65" s="22"/>
      <c r="N65" s="14">
        <v>200</v>
      </c>
      <c r="O65" s="15">
        <v>0.1111111111111111</v>
      </c>
      <c r="P65" s="14">
        <v>0</v>
      </c>
      <c r="Q65" s="14">
        <v>20.157822222222226</v>
      </c>
      <c r="R65" s="14">
        <v>0</v>
      </c>
      <c r="S65" s="14">
        <v>0</v>
      </c>
      <c r="T65" s="14">
        <v>1.007891126129859</v>
      </c>
      <c r="U65" s="14">
        <v>21.165713348352085</v>
      </c>
      <c r="V65" s="16">
        <v>0.019495467267969784</v>
      </c>
      <c r="Y65" s="14">
        <v>1200</v>
      </c>
      <c r="Z65" s="15">
        <v>0.6666666666666666</v>
      </c>
      <c r="AA65" s="14">
        <v>0</v>
      </c>
      <c r="AB65" s="14">
        <v>107.23255555555555</v>
      </c>
      <c r="AC65" s="14">
        <v>0</v>
      </c>
      <c r="AD65" s="14">
        <v>0</v>
      </c>
      <c r="AE65" s="14">
        <v>10.723255715344514</v>
      </c>
      <c r="AF65" s="14">
        <v>117.95581127090006</v>
      </c>
      <c r="AG65" s="16">
        <v>0.10864758583143598</v>
      </c>
      <c r="AJ65" s="14">
        <v>7000</v>
      </c>
      <c r="AK65" s="15">
        <v>3.888888888888889</v>
      </c>
      <c r="AL65" s="14">
        <v>12</v>
      </c>
      <c r="AM65" s="14">
        <v>559.0633333333334</v>
      </c>
      <c r="AN65" s="14">
        <v>112.7</v>
      </c>
      <c r="AO65" s="14">
        <v>82.670828125</v>
      </c>
      <c r="AP65" s="14">
        <v>188.60854036458335</v>
      </c>
      <c r="AQ65" s="14">
        <v>943.0427018229168</v>
      </c>
      <c r="AR65" s="16">
        <v>0.8686245449467869</v>
      </c>
      <c r="AU65" s="14">
        <v>80</v>
      </c>
      <c r="AV65" s="15">
        <v>0.044444444444444446</v>
      </c>
      <c r="AW65" s="14">
        <v>0</v>
      </c>
      <c r="AX65" s="14">
        <v>3.342222222222222</v>
      </c>
      <c r="AY65" s="14">
        <v>0</v>
      </c>
      <c r="AZ65" s="14">
        <v>0</v>
      </c>
      <c r="BA65" s="14">
        <v>0.1671111136012607</v>
      </c>
      <c r="BB65" s="14">
        <v>3.5093333358234826</v>
      </c>
      <c r="BC65" s="16">
        <v>0.0032324019538074603</v>
      </c>
    </row>
    <row r="66" spans="1:56" ht="12.75">
      <c r="A66" s="8">
        <v>5</v>
      </c>
      <c r="B66" s="9" t="s">
        <v>553</v>
      </c>
      <c r="C66" s="25"/>
      <c r="D66" s="25"/>
      <c r="E66" s="25"/>
      <c r="F66" s="25"/>
      <c r="G66" s="25"/>
      <c r="H66" s="25"/>
      <c r="I66" s="25"/>
      <c r="J66" s="25"/>
      <c r="K66" s="11">
        <v>0.2584920363046229</v>
      </c>
      <c r="L66" s="12">
        <v>10915.285081201297</v>
      </c>
      <c r="N66" s="25"/>
      <c r="O66" s="25"/>
      <c r="P66" s="25"/>
      <c r="Q66" s="25"/>
      <c r="R66" s="25"/>
      <c r="S66" s="25"/>
      <c r="T66" s="25"/>
      <c r="U66" s="25"/>
      <c r="V66" s="25"/>
      <c r="W66" s="12">
        <v>339.2498195468377</v>
      </c>
      <c r="Y66" s="25"/>
      <c r="Z66" s="25"/>
      <c r="AA66" s="25"/>
      <c r="AB66" s="25"/>
      <c r="AC66" s="25"/>
      <c r="AD66" s="25"/>
      <c r="AE66" s="25"/>
      <c r="AF66" s="25"/>
      <c r="AG66" s="25"/>
      <c r="AH66" s="12">
        <v>2291.793083944946</v>
      </c>
      <c r="AJ66" s="25"/>
      <c r="AK66" s="25"/>
      <c r="AL66" s="25"/>
      <c r="AM66" s="25"/>
      <c r="AN66" s="25"/>
      <c r="AO66" s="25"/>
      <c r="AP66" s="25"/>
      <c r="AQ66" s="25"/>
      <c r="AR66" s="25"/>
      <c r="AS66" s="12">
        <v>8139.052018988856</v>
      </c>
      <c r="AU66" s="25"/>
      <c r="AV66" s="25"/>
      <c r="AW66" s="25"/>
      <c r="AX66" s="25"/>
      <c r="AY66" s="25"/>
      <c r="AZ66" s="25"/>
      <c r="BA66" s="25"/>
      <c r="BB66" s="25"/>
      <c r="BC66" s="25"/>
      <c r="BD66" s="12">
        <v>145.1901587206602</v>
      </c>
    </row>
    <row r="67" spans="1:55" ht="12.75">
      <c r="A67" s="13">
        <v>5.1</v>
      </c>
      <c r="B67" s="19" t="s">
        <v>554</v>
      </c>
      <c r="C67" s="14">
        <v>1224</v>
      </c>
      <c r="D67" s="15">
        <v>0.68</v>
      </c>
      <c r="E67" s="14">
        <v>0</v>
      </c>
      <c r="F67" s="14">
        <v>81.45215555555555</v>
      </c>
      <c r="G67" s="14">
        <v>51.47</v>
      </c>
      <c r="H67" s="14">
        <v>0</v>
      </c>
      <c r="I67" s="14">
        <v>29.242874063766664</v>
      </c>
      <c r="J67" s="14">
        <v>162.1650296193222</v>
      </c>
      <c r="K67" s="22"/>
      <c r="N67" s="14">
        <v>160</v>
      </c>
      <c r="O67" s="15">
        <v>0.08888888888888889</v>
      </c>
      <c r="P67" s="14">
        <v>0</v>
      </c>
      <c r="Q67" s="14">
        <v>11.6309</v>
      </c>
      <c r="R67" s="14">
        <v>0</v>
      </c>
      <c r="S67" s="14">
        <v>0</v>
      </c>
      <c r="T67" s="14">
        <v>2.558797986134887</v>
      </c>
      <c r="U67" s="14">
        <v>14.189697986134888</v>
      </c>
      <c r="V67" s="16">
        <v>0.08750159032095144</v>
      </c>
      <c r="Y67" s="14">
        <v>544</v>
      </c>
      <c r="Z67" s="15">
        <v>0.3022222222222222</v>
      </c>
      <c r="AA67" s="14">
        <v>0</v>
      </c>
      <c r="AB67" s="14">
        <v>39.436477777777775</v>
      </c>
      <c r="AC67" s="14">
        <v>0</v>
      </c>
      <c r="AD67" s="14">
        <v>0</v>
      </c>
      <c r="AE67" s="14">
        <v>8.676025064099166</v>
      </c>
      <c r="AF67" s="14">
        <v>48.11250284187694</v>
      </c>
      <c r="AG67" s="16">
        <v>0.29668852128488904</v>
      </c>
      <c r="AJ67" s="14">
        <v>520</v>
      </c>
      <c r="AK67" s="15">
        <v>0.28888888888888886</v>
      </c>
      <c r="AL67" s="14">
        <v>0</v>
      </c>
      <c r="AM67" s="14">
        <v>30.384777777777778</v>
      </c>
      <c r="AN67" s="14">
        <v>51.47</v>
      </c>
      <c r="AO67" s="14">
        <v>0</v>
      </c>
      <c r="AP67" s="14">
        <v>18.00805101353261</v>
      </c>
      <c r="AQ67" s="14">
        <v>99.86282879131038</v>
      </c>
      <c r="AR67" s="16">
        <v>0.6158098883941595</v>
      </c>
      <c r="AU67" s="14">
        <v>0</v>
      </c>
      <c r="AV67" s="15">
        <v>0</v>
      </c>
      <c r="AW67" s="14">
        <v>0</v>
      </c>
      <c r="AX67" s="14">
        <v>0</v>
      </c>
      <c r="AY67" s="14">
        <v>0</v>
      </c>
      <c r="AZ67" s="14">
        <v>0</v>
      </c>
      <c r="BA67" s="14">
        <v>0</v>
      </c>
      <c r="BB67" s="14">
        <v>0</v>
      </c>
      <c r="BC67" s="16">
        <v>0</v>
      </c>
    </row>
    <row r="68" spans="1:55" ht="12.75">
      <c r="A68" s="13">
        <v>5.2</v>
      </c>
      <c r="B68" s="13" t="s">
        <v>555</v>
      </c>
      <c r="C68" s="14">
        <v>3440</v>
      </c>
      <c r="D68" s="15">
        <v>1.9111111111111112</v>
      </c>
      <c r="E68" s="14">
        <v>29</v>
      </c>
      <c r="F68" s="14">
        <v>328.97899555555557</v>
      </c>
      <c r="G68" s="14">
        <v>5690.851</v>
      </c>
      <c r="H68" s="14">
        <v>109.38031933593751</v>
      </c>
      <c r="I68" s="14">
        <v>1159.9989320488637</v>
      </c>
      <c r="J68" s="14">
        <v>7289.209246940356</v>
      </c>
      <c r="K68" s="22"/>
      <c r="N68" s="14">
        <v>820</v>
      </c>
      <c r="O68" s="15">
        <v>0.45555555555555555</v>
      </c>
      <c r="P68" s="14">
        <v>4</v>
      </c>
      <c r="Q68" s="14">
        <v>85.88585111111111</v>
      </c>
      <c r="R68" s="14">
        <v>0</v>
      </c>
      <c r="S68" s="14">
        <v>15.0869404296875</v>
      </c>
      <c r="T68" s="14">
        <v>10.097279304541045</v>
      </c>
      <c r="U68" s="14">
        <v>111.07007084533966</v>
      </c>
      <c r="V68" s="16">
        <v>0.015237602198340142</v>
      </c>
      <c r="Y68" s="14">
        <v>998</v>
      </c>
      <c r="Z68" s="15">
        <v>0.5544444444444444</v>
      </c>
      <c r="AA68" s="14">
        <v>6</v>
      </c>
      <c r="AB68" s="14">
        <v>97.6384688888889</v>
      </c>
      <c r="AC68" s="14">
        <v>1438.124</v>
      </c>
      <c r="AD68" s="14">
        <v>22.63041015625</v>
      </c>
      <c r="AE68" s="14">
        <v>264.92679222429723</v>
      </c>
      <c r="AF68" s="14">
        <v>1823.3196712694362</v>
      </c>
      <c r="AG68" s="16">
        <v>0.25013957063103576</v>
      </c>
      <c r="AJ68" s="14">
        <v>1562</v>
      </c>
      <c r="AK68" s="15">
        <v>0.8677777777777778</v>
      </c>
      <c r="AL68" s="14">
        <v>19</v>
      </c>
      <c r="AM68" s="14">
        <v>137.9678088888889</v>
      </c>
      <c r="AN68" s="14">
        <v>4131.727</v>
      </c>
      <c r="AO68" s="14">
        <v>71.66296875</v>
      </c>
      <c r="AP68" s="14">
        <v>868.2715684660321</v>
      </c>
      <c r="AQ68" s="14">
        <v>5209.629346104921</v>
      </c>
      <c r="AR68" s="16">
        <v>0.7147043210882801</v>
      </c>
      <c r="AU68" s="14">
        <v>60</v>
      </c>
      <c r="AV68" s="15">
        <v>0.03333333333333333</v>
      </c>
      <c r="AW68" s="14">
        <v>0</v>
      </c>
      <c r="AX68" s="14">
        <v>7.486866666666667</v>
      </c>
      <c r="AY68" s="14">
        <v>121</v>
      </c>
      <c r="AZ68" s="14">
        <v>0</v>
      </c>
      <c r="BA68" s="14">
        <v>16.703292053993543</v>
      </c>
      <c r="BB68" s="14">
        <v>145.1901587206602</v>
      </c>
      <c r="BC68" s="16">
        <v>0.019918506082344082</v>
      </c>
    </row>
    <row r="69" spans="1:55" ht="12.75">
      <c r="A69" s="13">
        <v>5.3</v>
      </c>
      <c r="B69" s="19" t="s">
        <v>556</v>
      </c>
      <c r="C69" s="14">
        <v>3900</v>
      </c>
      <c r="D69" s="15">
        <v>2.1666666666666665</v>
      </c>
      <c r="E69" s="14">
        <v>2</v>
      </c>
      <c r="F69" s="14">
        <v>266.07079999999996</v>
      </c>
      <c r="G69" s="14">
        <v>1340.46</v>
      </c>
      <c r="H69" s="14">
        <v>7.34347021484375</v>
      </c>
      <c r="I69" s="14">
        <v>516.4397549254218</v>
      </c>
      <c r="J69" s="14">
        <v>2130.3140251402656</v>
      </c>
      <c r="K69" s="22"/>
      <c r="N69" s="14">
        <v>856</v>
      </c>
      <c r="O69" s="15">
        <v>0.47555555555555556</v>
      </c>
      <c r="P69" s="14">
        <v>0</v>
      </c>
      <c r="Q69" s="14">
        <v>60.66639555555556</v>
      </c>
      <c r="R69" s="14">
        <v>20</v>
      </c>
      <c r="S69" s="14">
        <v>0</v>
      </c>
      <c r="T69" s="14">
        <v>25.813246000806757</v>
      </c>
      <c r="U69" s="14">
        <v>106.47964155636232</v>
      </c>
      <c r="V69" s="16">
        <v>0.0499830730586076</v>
      </c>
      <c r="Y69" s="14">
        <v>1220</v>
      </c>
      <c r="Z69" s="15">
        <v>0.6777777777777778</v>
      </c>
      <c r="AA69" s="14">
        <v>0</v>
      </c>
      <c r="AB69" s="14">
        <v>88.21333333333332</v>
      </c>
      <c r="AC69" s="14">
        <v>0</v>
      </c>
      <c r="AD69" s="14">
        <v>0</v>
      </c>
      <c r="AE69" s="14">
        <v>28.228266035715738</v>
      </c>
      <c r="AF69" s="14">
        <v>116.44159936904906</v>
      </c>
      <c r="AG69" s="16">
        <v>0.05465935913433337</v>
      </c>
      <c r="AJ69" s="14">
        <v>1824</v>
      </c>
      <c r="AK69" s="15">
        <v>1.0133333333333334</v>
      </c>
      <c r="AL69" s="14">
        <v>2</v>
      </c>
      <c r="AM69" s="14">
        <v>117.19107111111111</v>
      </c>
      <c r="AN69" s="14">
        <v>1320.46</v>
      </c>
      <c r="AO69" s="14">
        <v>7.34347021484375</v>
      </c>
      <c r="AP69" s="14">
        <v>462.39824288889923</v>
      </c>
      <c r="AQ69" s="14">
        <v>1907.3927842148541</v>
      </c>
      <c r="AR69" s="16">
        <v>0.895357567807059</v>
      </c>
      <c r="AU69" s="14">
        <v>0</v>
      </c>
      <c r="AV69" s="15">
        <v>0</v>
      </c>
      <c r="AW69" s="14">
        <v>0</v>
      </c>
      <c r="AX69" s="14">
        <v>0</v>
      </c>
      <c r="AY69" s="14">
        <v>0</v>
      </c>
      <c r="AZ69" s="14">
        <v>0</v>
      </c>
      <c r="BA69" s="14">
        <v>0</v>
      </c>
      <c r="BB69" s="14">
        <v>0</v>
      </c>
      <c r="BC69" s="16">
        <v>0</v>
      </c>
    </row>
    <row r="70" spans="1:55" ht="12.75">
      <c r="A70" s="13">
        <v>5.4</v>
      </c>
      <c r="B70" s="19" t="s">
        <v>557</v>
      </c>
      <c r="C70" s="14">
        <v>1812</v>
      </c>
      <c r="D70" s="15">
        <v>1.0066666666666666</v>
      </c>
      <c r="E70" s="14">
        <v>0</v>
      </c>
      <c r="F70" s="14">
        <v>133.29594666666665</v>
      </c>
      <c r="G70" s="14">
        <v>36.05</v>
      </c>
      <c r="H70" s="14">
        <v>0</v>
      </c>
      <c r="I70" s="14">
        <v>27.095350861038366</v>
      </c>
      <c r="J70" s="14">
        <v>196.441297527705</v>
      </c>
      <c r="K70" s="22"/>
      <c r="N70" s="14">
        <v>170</v>
      </c>
      <c r="O70" s="15">
        <v>0.09444444444444444</v>
      </c>
      <c r="P70" s="14">
        <v>0</v>
      </c>
      <c r="Q70" s="14">
        <v>13.106611111111109</v>
      </c>
      <c r="R70" s="14">
        <v>0</v>
      </c>
      <c r="S70" s="14">
        <v>0</v>
      </c>
      <c r="T70" s="14">
        <v>2.0970577309048837</v>
      </c>
      <c r="U70" s="14">
        <v>15.203668842015993</v>
      </c>
      <c r="V70" s="16">
        <v>0.07739548166989557</v>
      </c>
      <c r="Y70" s="14">
        <v>647</v>
      </c>
      <c r="Z70" s="15">
        <v>0.35944444444444446</v>
      </c>
      <c r="AA70" s="14">
        <v>0</v>
      </c>
      <c r="AB70" s="14">
        <v>49.443685555555554</v>
      </c>
      <c r="AC70" s="14">
        <v>0</v>
      </c>
      <c r="AD70" s="14">
        <v>0</v>
      </c>
      <c r="AE70" s="14">
        <v>7.910989512064489</v>
      </c>
      <c r="AF70" s="14">
        <v>57.35467506762004</v>
      </c>
      <c r="AG70" s="16">
        <v>0.2919685208225173</v>
      </c>
      <c r="AJ70" s="14">
        <v>995</v>
      </c>
      <c r="AK70" s="15">
        <v>0.5527777777777778</v>
      </c>
      <c r="AL70" s="14">
        <v>0</v>
      </c>
      <c r="AM70" s="14">
        <v>70.74565</v>
      </c>
      <c r="AN70" s="14">
        <v>36.05</v>
      </c>
      <c r="AO70" s="14">
        <v>0</v>
      </c>
      <c r="AP70" s="14">
        <v>17.087303618068994</v>
      </c>
      <c r="AQ70" s="14">
        <v>123.882953618069</v>
      </c>
      <c r="AR70" s="16">
        <v>0.6306359975075874</v>
      </c>
      <c r="AU70" s="14">
        <v>0</v>
      </c>
      <c r="AV70" s="15">
        <v>0</v>
      </c>
      <c r="AW70" s="14">
        <v>0</v>
      </c>
      <c r="AX70" s="14">
        <v>0</v>
      </c>
      <c r="AY70" s="14">
        <v>0</v>
      </c>
      <c r="AZ70" s="14">
        <v>0</v>
      </c>
      <c r="BA70" s="14">
        <v>0</v>
      </c>
      <c r="BB70" s="14">
        <v>0</v>
      </c>
      <c r="BC70" s="16">
        <v>0</v>
      </c>
    </row>
    <row r="71" spans="1:55" ht="12.75">
      <c r="A71" s="13">
        <v>5.5</v>
      </c>
      <c r="B71" s="19" t="s">
        <v>558</v>
      </c>
      <c r="C71" s="14">
        <v>8105</v>
      </c>
      <c r="D71" s="15">
        <v>4.502777777777778</v>
      </c>
      <c r="E71" s="14">
        <v>0</v>
      </c>
      <c r="F71" s="14">
        <v>543.2380833333334</v>
      </c>
      <c r="G71" s="14">
        <v>126.39439</v>
      </c>
      <c r="H71" s="14">
        <v>0</v>
      </c>
      <c r="I71" s="14">
        <v>107.141193338541</v>
      </c>
      <c r="J71" s="14">
        <v>776.7736666718745</v>
      </c>
      <c r="K71" s="22"/>
      <c r="N71" s="14">
        <v>910</v>
      </c>
      <c r="O71" s="15">
        <v>0.5055555555555555</v>
      </c>
      <c r="P71" s="14">
        <v>0</v>
      </c>
      <c r="Q71" s="14">
        <v>75.25012222222222</v>
      </c>
      <c r="R71" s="14">
        <v>0</v>
      </c>
      <c r="S71" s="14">
        <v>0</v>
      </c>
      <c r="T71" s="14">
        <v>12.040019286440145</v>
      </c>
      <c r="U71" s="14">
        <v>87.29014150866236</v>
      </c>
      <c r="V71" s="16">
        <v>0.11237525839754754</v>
      </c>
      <c r="Y71" s="14">
        <v>2610</v>
      </c>
      <c r="Z71" s="15">
        <v>1.45</v>
      </c>
      <c r="AA71" s="14">
        <v>0</v>
      </c>
      <c r="AB71" s="14">
        <v>208.23106666666666</v>
      </c>
      <c r="AC71" s="14">
        <v>0</v>
      </c>
      <c r="AD71" s="14">
        <v>0</v>
      </c>
      <c r="AE71" s="14">
        <v>33.31696992197434</v>
      </c>
      <c r="AF71" s="14">
        <v>241.548036588641</v>
      </c>
      <c r="AG71" s="16">
        <v>0.3109632148365245</v>
      </c>
      <c r="AJ71" s="14">
        <v>4585</v>
      </c>
      <c r="AK71" s="15">
        <v>2.547222222222222</v>
      </c>
      <c r="AL71" s="14">
        <v>0</v>
      </c>
      <c r="AM71" s="14">
        <v>259.75689444444447</v>
      </c>
      <c r="AN71" s="14">
        <v>126.39439</v>
      </c>
      <c r="AO71" s="14">
        <v>0</v>
      </c>
      <c r="AP71" s="14">
        <v>61.784204130126504</v>
      </c>
      <c r="AQ71" s="14">
        <v>447.93548857457097</v>
      </c>
      <c r="AR71" s="16">
        <v>0.5766615267659277</v>
      </c>
      <c r="AU71" s="14">
        <v>0</v>
      </c>
      <c r="AV71" s="15">
        <v>0</v>
      </c>
      <c r="AW71" s="14">
        <v>0</v>
      </c>
      <c r="AX71" s="14">
        <v>0</v>
      </c>
      <c r="AY71" s="14">
        <v>0</v>
      </c>
      <c r="AZ71" s="14">
        <v>0</v>
      </c>
      <c r="BA71" s="14">
        <v>0</v>
      </c>
      <c r="BB71" s="14">
        <v>0</v>
      </c>
      <c r="BC71" s="16">
        <v>0</v>
      </c>
    </row>
    <row r="72" spans="1:55" ht="12.75">
      <c r="A72" s="13">
        <v>5.6</v>
      </c>
      <c r="B72" s="19" t="s">
        <v>559</v>
      </c>
      <c r="C72" s="14">
        <v>3126</v>
      </c>
      <c r="D72" s="15">
        <v>1.7366666666666666</v>
      </c>
      <c r="E72" s="14">
        <v>0</v>
      </c>
      <c r="F72" s="14">
        <v>192.88662611111113</v>
      </c>
      <c r="G72" s="14">
        <v>72.1</v>
      </c>
      <c r="H72" s="14">
        <v>0</v>
      </c>
      <c r="I72" s="14">
        <v>95.3951891906641</v>
      </c>
      <c r="J72" s="14">
        <v>360.38181530177525</v>
      </c>
      <c r="K72" s="22"/>
      <c r="N72" s="14">
        <v>48</v>
      </c>
      <c r="O72" s="15">
        <v>0.02666666666666667</v>
      </c>
      <c r="P72" s="14">
        <v>0</v>
      </c>
      <c r="Q72" s="14">
        <v>3.6886755555555557</v>
      </c>
      <c r="R72" s="14">
        <v>0</v>
      </c>
      <c r="S72" s="14">
        <v>0</v>
      </c>
      <c r="T72" s="14">
        <v>1.3279232527669271</v>
      </c>
      <c r="U72" s="14">
        <v>5.016598808322483</v>
      </c>
      <c r="V72" s="16">
        <v>0.013920232917750583</v>
      </c>
      <c r="Y72" s="14">
        <v>48</v>
      </c>
      <c r="Z72" s="15">
        <v>0.02666666666666667</v>
      </c>
      <c r="AA72" s="14">
        <v>0</v>
      </c>
      <c r="AB72" s="14">
        <v>3.6886755555555557</v>
      </c>
      <c r="AC72" s="14">
        <v>0</v>
      </c>
      <c r="AD72" s="14">
        <v>0</v>
      </c>
      <c r="AE72" s="14">
        <v>1.3279232527669271</v>
      </c>
      <c r="AF72" s="14">
        <v>5.016598808322483</v>
      </c>
      <c r="AG72" s="16">
        <v>0.013920232917750583</v>
      </c>
      <c r="AJ72" s="14">
        <v>3030</v>
      </c>
      <c r="AK72" s="15">
        <v>1.6833333333333333</v>
      </c>
      <c r="AL72" s="14">
        <v>0</v>
      </c>
      <c r="AM72" s="14">
        <v>185.509275</v>
      </c>
      <c r="AN72" s="14">
        <v>72.1</v>
      </c>
      <c r="AO72" s="14">
        <v>0</v>
      </c>
      <c r="AP72" s="14">
        <v>92.73934268513024</v>
      </c>
      <c r="AQ72" s="14">
        <v>350.34861768513025</v>
      </c>
      <c r="AR72" s="16">
        <v>0.9721595341644987</v>
      </c>
      <c r="AU72" s="14">
        <v>0</v>
      </c>
      <c r="AV72" s="15">
        <v>0</v>
      </c>
      <c r="AW72" s="14">
        <v>0</v>
      </c>
      <c r="AX72" s="14">
        <v>0</v>
      </c>
      <c r="AY72" s="14">
        <v>0</v>
      </c>
      <c r="AZ72" s="14">
        <v>0</v>
      </c>
      <c r="BA72" s="14">
        <v>0</v>
      </c>
      <c r="BB72" s="14">
        <v>0</v>
      </c>
      <c r="BC72" s="16">
        <v>0</v>
      </c>
    </row>
    <row r="73" spans="1:56" ht="12.75">
      <c r="A73" s="8">
        <v>6</v>
      </c>
      <c r="B73" s="9" t="s">
        <v>560</v>
      </c>
      <c r="C73" s="25"/>
      <c r="D73" s="25"/>
      <c r="E73" s="25"/>
      <c r="F73" s="25"/>
      <c r="G73" s="25"/>
      <c r="H73" s="25"/>
      <c r="I73" s="25"/>
      <c r="J73" s="25"/>
      <c r="K73" s="11">
        <v>0.042659730527957344</v>
      </c>
      <c r="L73" s="12">
        <v>1801.3828466697432</v>
      </c>
      <c r="N73" s="25"/>
      <c r="O73" s="25"/>
      <c r="P73" s="25"/>
      <c r="Q73" s="25"/>
      <c r="R73" s="25"/>
      <c r="S73" s="25"/>
      <c r="T73" s="25"/>
      <c r="U73" s="25"/>
      <c r="V73" s="25"/>
      <c r="W73" s="12">
        <v>185.41271188754348</v>
      </c>
      <c r="Y73" s="25"/>
      <c r="Z73" s="25"/>
      <c r="AA73" s="25"/>
      <c r="AB73" s="25"/>
      <c r="AC73" s="25"/>
      <c r="AD73" s="25"/>
      <c r="AE73" s="25"/>
      <c r="AF73" s="25"/>
      <c r="AG73" s="25"/>
      <c r="AH73" s="12">
        <v>849.7563866395409</v>
      </c>
      <c r="AJ73" s="25"/>
      <c r="AK73" s="25"/>
      <c r="AL73" s="25"/>
      <c r="AM73" s="25"/>
      <c r="AN73" s="25"/>
      <c r="AO73" s="25"/>
      <c r="AP73" s="25"/>
      <c r="AQ73" s="25"/>
      <c r="AR73" s="25"/>
      <c r="AS73" s="12">
        <v>766.2137481426591</v>
      </c>
      <c r="AU73" s="25"/>
      <c r="AV73" s="25"/>
      <c r="AW73" s="25"/>
      <c r="AX73" s="25"/>
      <c r="AY73" s="25"/>
      <c r="AZ73" s="25"/>
      <c r="BA73" s="25"/>
      <c r="BB73" s="25"/>
      <c r="BC73" s="25"/>
      <c r="BD73" s="12">
        <v>0</v>
      </c>
    </row>
    <row r="74" spans="1:55" ht="12.75">
      <c r="A74" s="13">
        <v>6.1</v>
      </c>
      <c r="B74" s="19" t="s">
        <v>561</v>
      </c>
      <c r="K74" s="22"/>
      <c r="V74" s="22" t="s">
        <v>814</v>
      </c>
      <c r="AG74" s="22" t="s">
        <v>814</v>
      </c>
      <c r="AR74" s="22" t="s">
        <v>814</v>
      </c>
      <c r="BC74" s="22" t="s">
        <v>814</v>
      </c>
    </row>
    <row r="75" spans="1:55" ht="12.75">
      <c r="A75" s="23" t="s">
        <v>562</v>
      </c>
      <c r="B75" s="19" t="s">
        <v>563</v>
      </c>
      <c r="C75" s="14">
        <v>2120</v>
      </c>
      <c r="D75" s="15">
        <v>1.1777777777777778</v>
      </c>
      <c r="E75" s="14">
        <v>0</v>
      </c>
      <c r="F75" s="14">
        <v>182.3846888888889</v>
      </c>
      <c r="G75" s="14">
        <v>0</v>
      </c>
      <c r="H75" s="14">
        <v>0</v>
      </c>
      <c r="I75" s="14">
        <v>23.84197448592484</v>
      </c>
      <c r="J75" s="14">
        <v>206.22666337481374</v>
      </c>
      <c r="K75" s="22"/>
      <c r="N75" s="14">
        <v>180</v>
      </c>
      <c r="O75" s="15">
        <v>0.1</v>
      </c>
      <c r="P75" s="14">
        <v>0</v>
      </c>
      <c r="Q75" s="14">
        <v>17.662200000000002</v>
      </c>
      <c r="R75" s="14">
        <v>0</v>
      </c>
      <c r="S75" s="14">
        <v>0</v>
      </c>
      <c r="T75" s="14">
        <v>1.9428419894725084</v>
      </c>
      <c r="U75" s="14">
        <v>19.60504198947251</v>
      </c>
      <c r="V75" s="16">
        <v>0.09506550544262385</v>
      </c>
      <c r="Y75" s="14">
        <v>1120</v>
      </c>
      <c r="Z75" s="15">
        <v>0.6222222222222222</v>
      </c>
      <c r="AA75" s="14">
        <v>0</v>
      </c>
      <c r="AB75" s="14">
        <v>101.72817777777777</v>
      </c>
      <c r="AC75" s="14">
        <v>0</v>
      </c>
      <c r="AD75" s="14">
        <v>0</v>
      </c>
      <c r="AE75" s="14">
        <v>11.190099494920837</v>
      </c>
      <c r="AF75" s="14">
        <v>112.91827727269862</v>
      </c>
      <c r="AG75" s="16">
        <v>0.5475445096421475</v>
      </c>
      <c r="AJ75" s="14">
        <v>820</v>
      </c>
      <c r="AK75" s="15">
        <v>0.45555555555555555</v>
      </c>
      <c r="AL75" s="14">
        <v>0</v>
      </c>
      <c r="AM75" s="14">
        <v>62.99431111111111</v>
      </c>
      <c r="AN75" s="14">
        <v>0</v>
      </c>
      <c r="AO75" s="14">
        <v>0</v>
      </c>
      <c r="AP75" s="14">
        <v>10.709033001531495</v>
      </c>
      <c r="AQ75" s="14">
        <v>73.70334411264261</v>
      </c>
      <c r="AR75" s="16">
        <v>0.3573899849152286</v>
      </c>
      <c r="AU75" s="14">
        <v>0</v>
      </c>
      <c r="AV75" s="15">
        <v>0</v>
      </c>
      <c r="AW75" s="14">
        <v>0</v>
      </c>
      <c r="AX75" s="14">
        <v>0</v>
      </c>
      <c r="AY75" s="14">
        <v>0</v>
      </c>
      <c r="AZ75" s="14">
        <v>0</v>
      </c>
      <c r="BA75" s="14">
        <v>0</v>
      </c>
      <c r="BB75" s="14">
        <v>0</v>
      </c>
      <c r="BC75" s="16">
        <v>0</v>
      </c>
    </row>
    <row r="76" spans="1:55" ht="12.75">
      <c r="A76" s="23" t="s">
        <v>564</v>
      </c>
      <c r="B76" s="19" t="s">
        <v>565</v>
      </c>
      <c r="C76" s="14">
        <v>980</v>
      </c>
      <c r="D76" s="15">
        <v>0.5444444444444444</v>
      </c>
      <c r="E76" s="14">
        <v>0</v>
      </c>
      <c r="F76" s="14">
        <v>83.90593333333334</v>
      </c>
      <c r="G76" s="14">
        <v>0</v>
      </c>
      <c r="H76" s="14">
        <v>0</v>
      </c>
      <c r="I76" s="14">
        <v>11.153289359759953</v>
      </c>
      <c r="J76" s="14">
        <v>95.05922269309329</v>
      </c>
      <c r="K76" s="22"/>
      <c r="N76" s="14">
        <v>100</v>
      </c>
      <c r="O76" s="15">
        <v>0.05555555555555555</v>
      </c>
      <c r="P76" s="14">
        <v>0</v>
      </c>
      <c r="Q76" s="14">
        <v>9.812333333333333</v>
      </c>
      <c r="R76" s="14">
        <v>0</v>
      </c>
      <c r="S76" s="14">
        <v>0</v>
      </c>
      <c r="T76" s="14">
        <v>1.0793566608180605</v>
      </c>
      <c r="U76" s="14">
        <v>10.891689994151394</v>
      </c>
      <c r="V76" s="16">
        <v>0.11457794084132301</v>
      </c>
      <c r="Y76" s="14">
        <v>470</v>
      </c>
      <c r="Z76" s="15">
        <v>0.2611111111111111</v>
      </c>
      <c r="AA76" s="14">
        <v>0</v>
      </c>
      <c r="AB76" s="14">
        <v>42.03298888888889</v>
      </c>
      <c r="AC76" s="14">
        <v>0</v>
      </c>
      <c r="AD76" s="14">
        <v>0</v>
      </c>
      <c r="AE76" s="14">
        <v>4.623628752724164</v>
      </c>
      <c r="AF76" s="14">
        <v>46.65661764161305</v>
      </c>
      <c r="AG76" s="16">
        <v>0.4908163176575499</v>
      </c>
      <c r="AJ76" s="14">
        <v>410</v>
      </c>
      <c r="AK76" s="15">
        <v>0.22777777777777777</v>
      </c>
      <c r="AL76" s="14">
        <v>0</v>
      </c>
      <c r="AM76" s="14">
        <v>32.06061111111111</v>
      </c>
      <c r="AN76" s="14">
        <v>0</v>
      </c>
      <c r="AO76" s="14">
        <v>0</v>
      </c>
      <c r="AP76" s="14">
        <v>5.450303946217728</v>
      </c>
      <c r="AQ76" s="14">
        <v>37.51091505732884</v>
      </c>
      <c r="AR76" s="16">
        <v>0.39460574150112704</v>
      </c>
      <c r="AU76" s="14">
        <v>0</v>
      </c>
      <c r="AV76" s="15">
        <v>0</v>
      </c>
      <c r="AW76" s="14">
        <v>0</v>
      </c>
      <c r="AX76" s="14">
        <v>0</v>
      </c>
      <c r="AY76" s="14">
        <v>0</v>
      </c>
      <c r="AZ76" s="14">
        <v>0</v>
      </c>
      <c r="BA76" s="14">
        <v>0</v>
      </c>
      <c r="BB76" s="14">
        <v>0</v>
      </c>
      <c r="BC76" s="16">
        <v>0</v>
      </c>
    </row>
    <row r="77" spans="1:55" ht="12.75">
      <c r="A77" s="23" t="s">
        <v>566</v>
      </c>
      <c r="B77" s="19" t="s">
        <v>567</v>
      </c>
      <c r="C77" s="14">
        <v>2520</v>
      </c>
      <c r="D77" s="15">
        <v>1.4</v>
      </c>
      <c r="E77" s="14">
        <v>0</v>
      </c>
      <c r="F77" s="14">
        <v>212.03786666666667</v>
      </c>
      <c r="G77" s="14">
        <v>0</v>
      </c>
      <c r="H77" s="14">
        <v>0</v>
      </c>
      <c r="I77" s="14">
        <v>27.632828044826454</v>
      </c>
      <c r="J77" s="14">
        <v>239.67069471149313</v>
      </c>
      <c r="K77" s="22"/>
      <c r="N77" s="14">
        <v>240</v>
      </c>
      <c r="O77" s="15">
        <v>0.13333333333333333</v>
      </c>
      <c r="P77" s="14">
        <v>0</v>
      </c>
      <c r="Q77" s="14">
        <v>23.549599999999998</v>
      </c>
      <c r="R77" s="14">
        <v>0</v>
      </c>
      <c r="S77" s="14">
        <v>0</v>
      </c>
      <c r="T77" s="14">
        <v>2.5904559859633447</v>
      </c>
      <c r="U77" s="14">
        <v>26.140055985963343</v>
      </c>
      <c r="V77" s="16">
        <v>0.10906655074134029</v>
      </c>
      <c r="Y77" s="14">
        <v>1340</v>
      </c>
      <c r="Z77" s="15">
        <v>0.7444444444444445</v>
      </c>
      <c r="AA77" s="14">
        <v>0</v>
      </c>
      <c r="AB77" s="14">
        <v>116.67722222222221</v>
      </c>
      <c r="AC77" s="14">
        <v>0</v>
      </c>
      <c r="AD77" s="14">
        <v>0</v>
      </c>
      <c r="AE77" s="14">
        <v>12.834494374899402</v>
      </c>
      <c r="AF77" s="14">
        <v>129.51171659712162</v>
      </c>
      <c r="AG77" s="16">
        <v>0.5403736020084688</v>
      </c>
      <c r="AJ77" s="14">
        <v>940</v>
      </c>
      <c r="AK77" s="15">
        <v>0.5222222222222223</v>
      </c>
      <c r="AL77" s="14">
        <v>0</v>
      </c>
      <c r="AM77" s="14">
        <v>71.81104444444445</v>
      </c>
      <c r="AN77" s="14">
        <v>0</v>
      </c>
      <c r="AO77" s="14">
        <v>0</v>
      </c>
      <c r="AP77" s="14">
        <v>12.207877683963709</v>
      </c>
      <c r="AQ77" s="14">
        <v>84.01892212840815</v>
      </c>
      <c r="AR77" s="16">
        <v>0.35055984725019085</v>
      </c>
      <c r="AU77" s="14">
        <v>0</v>
      </c>
      <c r="AV77" s="15">
        <v>0</v>
      </c>
      <c r="AW77" s="14">
        <v>0</v>
      </c>
      <c r="AX77" s="14">
        <v>0</v>
      </c>
      <c r="AY77" s="14">
        <v>0</v>
      </c>
      <c r="AZ77" s="14">
        <v>0</v>
      </c>
      <c r="BA77" s="14">
        <v>0</v>
      </c>
      <c r="BB77" s="14">
        <v>0</v>
      </c>
      <c r="BC77" s="16">
        <v>0</v>
      </c>
    </row>
    <row r="78" spans="1:55" ht="12.75">
      <c r="A78" s="23" t="s">
        <v>568</v>
      </c>
      <c r="B78" s="19" t="s">
        <v>569</v>
      </c>
      <c r="C78" s="14">
        <v>1230</v>
      </c>
      <c r="D78" s="15">
        <v>0.6833333333333333</v>
      </c>
      <c r="E78" s="14">
        <v>0</v>
      </c>
      <c r="F78" s="14">
        <v>105.26736666666667</v>
      </c>
      <c r="G78" s="14">
        <v>0</v>
      </c>
      <c r="H78" s="14">
        <v>0</v>
      </c>
      <c r="I78" s="14">
        <v>17.306712498171628</v>
      </c>
      <c r="J78" s="14">
        <v>122.57407916483831</v>
      </c>
      <c r="K78" s="22"/>
      <c r="N78" s="14">
        <v>100</v>
      </c>
      <c r="O78" s="15">
        <v>0.05555555555555555</v>
      </c>
      <c r="P78" s="14">
        <v>0</v>
      </c>
      <c r="Q78" s="14">
        <v>9.812333333333333</v>
      </c>
      <c r="R78" s="14">
        <v>0</v>
      </c>
      <c r="S78" s="14">
        <v>0</v>
      </c>
      <c r="T78" s="14">
        <v>1.0793566608180605</v>
      </c>
      <c r="U78" s="14">
        <v>10.891689994151394</v>
      </c>
      <c r="V78" s="16">
        <v>0.08885802013249626</v>
      </c>
      <c r="Y78" s="14">
        <v>600</v>
      </c>
      <c r="Z78" s="15">
        <v>0.3333333333333333</v>
      </c>
      <c r="AA78" s="14">
        <v>0</v>
      </c>
      <c r="AB78" s="14">
        <v>54.78902222222222</v>
      </c>
      <c r="AC78" s="14">
        <v>0</v>
      </c>
      <c r="AD78" s="14">
        <v>0</v>
      </c>
      <c r="AE78" s="14">
        <v>9.314133875748185</v>
      </c>
      <c r="AF78" s="14">
        <v>64.10315609797041</v>
      </c>
      <c r="AG78" s="16">
        <v>0.5229748127396832</v>
      </c>
      <c r="AJ78" s="14">
        <v>530</v>
      </c>
      <c r="AK78" s="15">
        <v>0.29444444444444445</v>
      </c>
      <c r="AL78" s="14">
        <v>0</v>
      </c>
      <c r="AM78" s="14">
        <v>40.66601111111111</v>
      </c>
      <c r="AN78" s="14">
        <v>0</v>
      </c>
      <c r="AO78" s="14">
        <v>0</v>
      </c>
      <c r="AP78" s="14">
        <v>6.913221961605384</v>
      </c>
      <c r="AQ78" s="14">
        <v>47.57923307271649</v>
      </c>
      <c r="AR78" s="16">
        <v>0.3881671671278205</v>
      </c>
      <c r="AU78" s="14">
        <v>0</v>
      </c>
      <c r="AV78" s="15">
        <v>0</v>
      </c>
      <c r="AW78" s="14">
        <v>0</v>
      </c>
      <c r="AX78" s="14">
        <v>0</v>
      </c>
      <c r="AY78" s="14">
        <v>0</v>
      </c>
      <c r="AZ78" s="14">
        <v>0</v>
      </c>
      <c r="BA78" s="14">
        <v>0</v>
      </c>
      <c r="BB78" s="14">
        <v>0</v>
      </c>
      <c r="BC78" s="16">
        <v>0</v>
      </c>
    </row>
    <row r="79" spans="1:55" ht="12.75">
      <c r="A79" s="23">
        <v>6.2</v>
      </c>
      <c r="B79" s="19" t="s">
        <v>570</v>
      </c>
      <c r="K79" s="22"/>
      <c r="V79" s="22" t="s">
        <v>814</v>
      </c>
      <c r="AG79" s="22" t="s">
        <v>814</v>
      </c>
      <c r="AR79" s="22" t="s">
        <v>814</v>
      </c>
      <c r="BC79" s="22" t="s">
        <v>814</v>
      </c>
    </row>
    <row r="80" spans="1:55" ht="12.75">
      <c r="A80" s="23" t="s">
        <v>571</v>
      </c>
      <c r="B80" s="19" t="s">
        <v>572</v>
      </c>
      <c r="C80" s="14">
        <v>1110</v>
      </c>
      <c r="D80" s="15">
        <v>0.6166666666666667</v>
      </c>
      <c r="E80" s="14">
        <v>0</v>
      </c>
      <c r="F80" s="14">
        <v>96.55630000000001</v>
      </c>
      <c r="G80" s="14">
        <v>0</v>
      </c>
      <c r="H80" s="14">
        <v>0</v>
      </c>
      <c r="I80" s="14">
        <v>10.60736408816543</v>
      </c>
      <c r="J80" s="14">
        <v>107.16366408816543</v>
      </c>
      <c r="K80" s="22"/>
      <c r="N80" s="14">
        <v>180</v>
      </c>
      <c r="O80" s="15">
        <v>0.1</v>
      </c>
      <c r="P80" s="14">
        <v>0</v>
      </c>
      <c r="Q80" s="14">
        <v>17.662200000000002</v>
      </c>
      <c r="R80" s="14">
        <v>0</v>
      </c>
      <c r="S80" s="14">
        <v>0</v>
      </c>
      <c r="T80" s="14">
        <v>1.5895980631649496</v>
      </c>
      <c r="U80" s="14">
        <v>19.25179806316495</v>
      </c>
      <c r="V80" s="16">
        <v>0.1796485611701944</v>
      </c>
      <c r="Y80" s="14">
        <v>520</v>
      </c>
      <c r="Z80" s="15">
        <v>0.28888888888888886</v>
      </c>
      <c r="AA80" s="14">
        <v>0</v>
      </c>
      <c r="AB80" s="14">
        <v>46.93915555555555</v>
      </c>
      <c r="AC80" s="14">
        <v>0</v>
      </c>
      <c r="AD80" s="14">
        <v>0</v>
      </c>
      <c r="AE80" s="14">
        <v>4.224524167867501</v>
      </c>
      <c r="AF80" s="14">
        <v>51.16367972342305</v>
      </c>
      <c r="AG80" s="16">
        <v>0.47743496042958916</v>
      </c>
      <c r="AJ80" s="14">
        <v>410</v>
      </c>
      <c r="AK80" s="15">
        <v>0.22777777777777777</v>
      </c>
      <c r="AL80" s="14">
        <v>0</v>
      </c>
      <c r="AM80" s="14">
        <v>31.954944444444447</v>
      </c>
      <c r="AN80" s="14">
        <v>0</v>
      </c>
      <c r="AO80" s="14">
        <v>0</v>
      </c>
      <c r="AP80" s="14">
        <v>4.793241857132978</v>
      </c>
      <c r="AQ80" s="14">
        <v>36.74818630157743</v>
      </c>
      <c r="AR80" s="16">
        <v>0.3429164784002164</v>
      </c>
      <c r="AU80" s="14">
        <v>0</v>
      </c>
      <c r="AV80" s="15">
        <v>0</v>
      </c>
      <c r="AW80" s="14">
        <v>0</v>
      </c>
      <c r="AX80" s="14">
        <v>0</v>
      </c>
      <c r="AY80" s="14">
        <v>0</v>
      </c>
      <c r="AZ80" s="14">
        <v>0</v>
      </c>
      <c r="BA80" s="14">
        <v>0</v>
      </c>
      <c r="BB80" s="14">
        <v>0</v>
      </c>
      <c r="BC80" s="16">
        <v>0</v>
      </c>
    </row>
    <row r="81" spans="1:55" ht="12.75">
      <c r="A81" s="23" t="s">
        <v>573</v>
      </c>
      <c r="B81" s="19" t="s">
        <v>574</v>
      </c>
      <c r="C81" s="14">
        <v>750</v>
      </c>
      <c r="D81" s="15">
        <v>0.4166666666666667</v>
      </c>
      <c r="E81" s="14">
        <v>0</v>
      </c>
      <c r="F81" s="14">
        <v>64.40129999999999</v>
      </c>
      <c r="G81" s="14">
        <v>0</v>
      </c>
      <c r="H81" s="14">
        <v>0</v>
      </c>
      <c r="I81" s="14">
        <v>7.4866586308264065</v>
      </c>
      <c r="J81" s="14">
        <v>71.8879586308264</v>
      </c>
      <c r="K81" s="22"/>
      <c r="N81" s="14">
        <v>80</v>
      </c>
      <c r="O81" s="15">
        <v>0.044444444444444446</v>
      </c>
      <c r="P81" s="14">
        <v>0</v>
      </c>
      <c r="Q81" s="14">
        <v>7.849866666666667</v>
      </c>
      <c r="R81" s="14">
        <v>0</v>
      </c>
      <c r="S81" s="14">
        <v>0</v>
      </c>
      <c r="T81" s="14">
        <v>0.7064880280733108</v>
      </c>
      <c r="U81" s="14">
        <v>8.556354694739978</v>
      </c>
      <c r="V81" s="16">
        <v>0.11902347566551866</v>
      </c>
      <c r="Y81" s="14">
        <v>310</v>
      </c>
      <c r="Z81" s="15">
        <v>0.17222222222222222</v>
      </c>
      <c r="AA81" s="14">
        <v>0</v>
      </c>
      <c r="AB81" s="14">
        <v>28.375744444444447</v>
      </c>
      <c r="AC81" s="14">
        <v>0</v>
      </c>
      <c r="AD81" s="14">
        <v>0</v>
      </c>
      <c r="AE81" s="14">
        <v>2.55381710147957</v>
      </c>
      <c r="AF81" s="14">
        <v>30.929561545924017</v>
      </c>
      <c r="AG81" s="16">
        <v>0.43024676364451747</v>
      </c>
      <c r="AJ81" s="14">
        <v>360</v>
      </c>
      <c r="AK81" s="15">
        <v>0.2</v>
      </c>
      <c r="AL81" s="14">
        <v>0</v>
      </c>
      <c r="AM81" s="14">
        <v>28.175688888888885</v>
      </c>
      <c r="AN81" s="14">
        <v>0</v>
      </c>
      <c r="AO81" s="14">
        <v>0</v>
      </c>
      <c r="AP81" s="14">
        <v>4.226353501273525</v>
      </c>
      <c r="AQ81" s="14">
        <v>32.40204239016241</v>
      </c>
      <c r="AR81" s="16">
        <v>0.45072976068996384</v>
      </c>
      <c r="AU81" s="14">
        <v>0</v>
      </c>
      <c r="AV81" s="15">
        <v>0</v>
      </c>
      <c r="AW81" s="14">
        <v>0</v>
      </c>
      <c r="AX81" s="14">
        <v>0</v>
      </c>
      <c r="AY81" s="14">
        <v>0</v>
      </c>
      <c r="AZ81" s="14">
        <v>0</v>
      </c>
      <c r="BA81" s="14">
        <v>0</v>
      </c>
      <c r="BB81" s="14">
        <v>0</v>
      </c>
      <c r="BC81" s="16">
        <v>0</v>
      </c>
    </row>
    <row r="82" spans="1:55" ht="12.75">
      <c r="A82" s="23" t="s">
        <v>575</v>
      </c>
      <c r="B82" s="19" t="s">
        <v>576</v>
      </c>
      <c r="C82" s="14">
        <v>1790</v>
      </c>
      <c r="D82" s="15">
        <v>0.9944444444444445</v>
      </c>
      <c r="E82" s="14">
        <v>0</v>
      </c>
      <c r="F82" s="14">
        <v>152.40745555555554</v>
      </c>
      <c r="G82" s="14">
        <v>0</v>
      </c>
      <c r="H82" s="14">
        <v>0</v>
      </c>
      <c r="I82" s="14">
        <v>17.328449021904003</v>
      </c>
      <c r="J82" s="14">
        <v>169.73590457745954</v>
      </c>
      <c r="K82" s="22"/>
      <c r="N82" s="14">
        <v>240</v>
      </c>
      <c r="O82" s="15">
        <v>0.13333333333333333</v>
      </c>
      <c r="P82" s="14">
        <v>0</v>
      </c>
      <c r="Q82" s="14">
        <v>23.549599999999998</v>
      </c>
      <c r="R82" s="14">
        <v>0</v>
      </c>
      <c r="S82" s="14">
        <v>0</v>
      </c>
      <c r="T82" s="14">
        <v>2.119464084219932</v>
      </c>
      <c r="U82" s="14">
        <v>25.66906408421993</v>
      </c>
      <c r="V82" s="16">
        <v>0.15122942990830657</v>
      </c>
      <c r="Y82" s="14">
        <v>770</v>
      </c>
      <c r="Z82" s="15">
        <v>0.42777777777777776</v>
      </c>
      <c r="AA82" s="14">
        <v>0</v>
      </c>
      <c r="AB82" s="14">
        <v>68.66156666666667</v>
      </c>
      <c r="AC82" s="14">
        <v>0</v>
      </c>
      <c r="AD82" s="14">
        <v>0</v>
      </c>
      <c r="AE82" s="14">
        <v>6.1795412455528975</v>
      </c>
      <c r="AF82" s="14">
        <v>74.84110791221957</v>
      </c>
      <c r="AG82" s="16">
        <v>0.44092679211584007</v>
      </c>
      <c r="AJ82" s="14">
        <v>780</v>
      </c>
      <c r="AK82" s="15">
        <v>0.43333333333333335</v>
      </c>
      <c r="AL82" s="14">
        <v>0</v>
      </c>
      <c r="AM82" s="14">
        <v>60.19628888888889</v>
      </c>
      <c r="AN82" s="14">
        <v>0</v>
      </c>
      <c r="AO82" s="14">
        <v>0</v>
      </c>
      <c r="AP82" s="14">
        <v>9.029443692131174</v>
      </c>
      <c r="AQ82" s="14">
        <v>69.22573258102005</v>
      </c>
      <c r="AR82" s="16">
        <v>0.40784377797585347</v>
      </c>
      <c r="AU82" s="14">
        <v>0</v>
      </c>
      <c r="AV82" s="15">
        <v>0</v>
      </c>
      <c r="AW82" s="14">
        <v>0</v>
      </c>
      <c r="AX82" s="14">
        <v>0</v>
      </c>
      <c r="AY82" s="14">
        <v>0</v>
      </c>
      <c r="AZ82" s="14">
        <v>0</v>
      </c>
      <c r="BA82" s="14">
        <v>0</v>
      </c>
      <c r="BB82" s="14">
        <v>0</v>
      </c>
      <c r="BC82" s="16">
        <v>0</v>
      </c>
    </row>
    <row r="83" spans="1:55" ht="12.75">
      <c r="A83" s="23">
        <v>6.3</v>
      </c>
      <c r="B83" s="19" t="s">
        <v>577</v>
      </c>
      <c r="K83" s="22"/>
      <c r="V83" s="22" t="s">
        <v>814</v>
      </c>
      <c r="AG83" s="22" t="s">
        <v>814</v>
      </c>
      <c r="AR83" s="22" t="s">
        <v>814</v>
      </c>
      <c r="BC83" s="22" t="s">
        <v>814</v>
      </c>
    </row>
    <row r="84" spans="1:55" ht="12.75">
      <c r="A84" s="23" t="s">
        <v>578</v>
      </c>
      <c r="B84" s="13" t="s">
        <v>579</v>
      </c>
      <c r="C84" s="14">
        <v>300</v>
      </c>
      <c r="D84" s="15">
        <v>0.16666666666666666</v>
      </c>
      <c r="E84" s="14">
        <v>0</v>
      </c>
      <c r="F84" s="14">
        <v>24.8414</v>
      </c>
      <c r="G84" s="14">
        <v>0</v>
      </c>
      <c r="H84" s="14">
        <v>0</v>
      </c>
      <c r="I84" s="14">
        <v>1.4904839666850864</v>
      </c>
      <c r="J84" s="14">
        <v>26.331883966685087</v>
      </c>
      <c r="K84" s="22"/>
      <c r="N84" s="14">
        <v>20</v>
      </c>
      <c r="O84" s="15">
        <v>0.011111111111111112</v>
      </c>
      <c r="P84" s="14">
        <v>0</v>
      </c>
      <c r="Q84" s="14">
        <v>1.9624666666666668</v>
      </c>
      <c r="R84" s="14">
        <v>0</v>
      </c>
      <c r="S84" s="14">
        <v>0</v>
      </c>
      <c r="T84" s="14">
        <v>0.11774799736812712</v>
      </c>
      <c r="U84" s="14">
        <v>2.080214664034794</v>
      </c>
      <c r="V84" s="16">
        <v>0.07899984166217149</v>
      </c>
      <c r="Y84" s="14">
        <v>100</v>
      </c>
      <c r="Z84" s="15">
        <v>0.05555555555555555</v>
      </c>
      <c r="AA84" s="14">
        <v>0</v>
      </c>
      <c r="AB84" s="14">
        <v>8.280466666666667</v>
      </c>
      <c r="AC84" s="14">
        <v>0</v>
      </c>
      <c r="AD84" s="14">
        <v>0</v>
      </c>
      <c r="AE84" s="14">
        <v>0.4968279888950288</v>
      </c>
      <c r="AF84" s="14">
        <v>8.777294655561697</v>
      </c>
      <c r="AG84" s="16">
        <v>0.33333333333333337</v>
      </c>
      <c r="AJ84" s="14">
        <v>180</v>
      </c>
      <c r="AK84" s="15">
        <v>0.1</v>
      </c>
      <c r="AL84" s="14">
        <v>0</v>
      </c>
      <c r="AM84" s="14">
        <v>14.598466666666665</v>
      </c>
      <c r="AN84" s="14">
        <v>0</v>
      </c>
      <c r="AO84" s="14">
        <v>0</v>
      </c>
      <c r="AP84" s="14">
        <v>0.8759079804219304</v>
      </c>
      <c r="AQ84" s="14">
        <v>15.474374647088595</v>
      </c>
      <c r="AR84" s="16">
        <v>0.5876668250044951</v>
      </c>
      <c r="AU84" s="14">
        <v>0</v>
      </c>
      <c r="AV84" s="15">
        <v>0</v>
      </c>
      <c r="AW84" s="14">
        <v>0</v>
      </c>
      <c r="AX84" s="14">
        <v>0</v>
      </c>
      <c r="AY84" s="14">
        <v>0</v>
      </c>
      <c r="AZ84" s="14">
        <v>0</v>
      </c>
      <c r="BA84" s="14">
        <v>0</v>
      </c>
      <c r="BB84" s="14">
        <v>0</v>
      </c>
      <c r="BC84" s="16">
        <v>0</v>
      </c>
    </row>
    <row r="85" spans="1:55" ht="12.75">
      <c r="A85" s="23" t="s">
        <v>580</v>
      </c>
      <c r="B85" s="19" t="s">
        <v>581</v>
      </c>
      <c r="C85" s="14">
        <v>3475</v>
      </c>
      <c r="D85" s="15">
        <v>1.9305555555555556</v>
      </c>
      <c r="E85" s="14">
        <v>5</v>
      </c>
      <c r="F85" s="14">
        <v>287.8738722222222</v>
      </c>
      <c r="G85" s="14">
        <v>0</v>
      </c>
      <c r="H85" s="14">
        <v>18.85867529296875</v>
      </c>
      <c r="I85" s="14">
        <v>35.25025588997707</v>
      </c>
      <c r="J85" s="14">
        <v>341.98280340516806</v>
      </c>
      <c r="K85" s="22"/>
      <c r="N85" s="14">
        <v>340</v>
      </c>
      <c r="O85" s="15">
        <v>0.18888888888888888</v>
      </c>
      <c r="P85" s="14">
        <v>0</v>
      </c>
      <c r="Q85" s="14">
        <v>30.2982</v>
      </c>
      <c r="R85" s="14">
        <v>0</v>
      </c>
      <c r="S85" s="14">
        <v>0</v>
      </c>
      <c r="T85" s="14">
        <v>2.7268381083548068</v>
      </c>
      <c r="U85" s="14">
        <v>33.025038108354806</v>
      </c>
      <c r="V85" s="16">
        <v>0.09656929465318176</v>
      </c>
      <c r="Y85" s="14">
        <v>1570</v>
      </c>
      <c r="Z85" s="15">
        <v>0.8722222222222222</v>
      </c>
      <c r="AA85" s="14">
        <v>3</v>
      </c>
      <c r="AB85" s="14">
        <v>137.71372222222223</v>
      </c>
      <c r="AC85" s="14">
        <v>0</v>
      </c>
      <c r="AD85" s="14">
        <v>11.315205078125</v>
      </c>
      <c r="AE85" s="14">
        <v>13.412603990000227</v>
      </c>
      <c r="AF85" s="14">
        <v>162.44153129034746</v>
      </c>
      <c r="AG85" s="16">
        <v>0.4749991218064055</v>
      </c>
      <c r="AJ85" s="14">
        <v>1565</v>
      </c>
      <c r="AK85" s="15">
        <v>0.8694444444444445</v>
      </c>
      <c r="AL85" s="14">
        <v>2</v>
      </c>
      <c r="AM85" s="14">
        <v>119.86194999999998</v>
      </c>
      <c r="AN85" s="14">
        <v>0</v>
      </c>
      <c r="AO85" s="14">
        <v>7.54347021484375</v>
      </c>
      <c r="AP85" s="14">
        <v>19.11081379162204</v>
      </c>
      <c r="AQ85" s="14">
        <v>146.51623400646577</v>
      </c>
      <c r="AR85" s="16">
        <v>0.4284315835404126</v>
      </c>
      <c r="AU85" s="14">
        <v>0</v>
      </c>
      <c r="AV85" s="15">
        <v>0</v>
      </c>
      <c r="AW85" s="14">
        <v>0</v>
      </c>
      <c r="AX85" s="14">
        <v>0</v>
      </c>
      <c r="AY85" s="14">
        <v>0</v>
      </c>
      <c r="AZ85" s="14">
        <v>0</v>
      </c>
      <c r="BA85" s="14">
        <v>0</v>
      </c>
      <c r="BB85" s="14">
        <v>0</v>
      </c>
      <c r="BC85" s="16">
        <v>0</v>
      </c>
    </row>
    <row r="86" spans="1:55" ht="12.75">
      <c r="A86" s="23" t="s">
        <v>582</v>
      </c>
      <c r="B86" s="19" t="s">
        <v>583</v>
      </c>
      <c r="C86" s="14">
        <v>3340</v>
      </c>
      <c r="D86" s="15">
        <v>1.8555555555555556</v>
      </c>
      <c r="E86" s="14">
        <v>0</v>
      </c>
      <c r="F86" s="14">
        <v>249.26767777777775</v>
      </c>
      <c r="G86" s="14">
        <v>0</v>
      </c>
      <c r="H86" s="14">
        <v>0</v>
      </c>
      <c r="I86" s="14">
        <v>52.17177759258598</v>
      </c>
      <c r="J86" s="14">
        <v>301.4394553703637</v>
      </c>
      <c r="K86" s="22"/>
      <c r="N86" s="14">
        <v>250</v>
      </c>
      <c r="O86" s="15">
        <v>0.1388888888888889</v>
      </c>
      <c r="P86" s="14">
        <v>0</v>
      </c>
      <c r="Q86" s="14">
        <v>18.148055555555555</v>
      </c>
      <c r="R86" s="14">
        <v>0</v>
      </c>
      <c r="S86" s="14">
        <v>0</v>
      </c>
      <c r="T86" s="14">
        <v>3.2666501298050084</v>
      </c>
      <c r="U86" s="14">
        <v>21.414705685360563</v>
      </c>
      <c r="V86" s="16">
        <v>0.07104148214124584</v>
      </c>
      <c r="Y86" s="14">
        <v>1390</v>
      </c>
      <c r="Z86" s="15">
        <v>0.7722222222222223</v>
      </c>
      <c r="AA86" s="14">
        <v>0</v>
      </c>
      <c r="AB86" s="14">
        <v>109.39303333333332</v>
      </c>
      <c r="AC86" s="14">
        <v>0</v>
      </c>
      <c r="AD86" s="14">
        <v>0</v>
      </c>
      <c r="AE86" s="14">
        <v>19.690746782439945</v>
      </c>
      <c r="AF86" s="14">
        <v>129.08378011577327</v>
      </c>
      <c r="AG86" s="16">
        <v>0.4282245665457909</v>
      </c>
      <c r="AJ86" s="14">
        <v>1700</v>
      </c>
      <c r="AK86" s="15">
        <v>0.9444444444444444</v>
      </c>
      <c r="AL86" s="14">
        <v>0</v>
      </c>
      <c r="AM86" s="14">
        <v>121.72658888888888</v>
      </c>
      <c r="AN86" s="14">
        <v>0</v>
      </c>
      <c r="AO86" s="14">
        <v>0</v>
      </c>
      <c r="AP86" s="14">
        <v>29.214380680341026</v>
      </c>
      <c r="AQ86" s="14">
        <v>150.9409695692299</v>
      </c>
      <c r="AR86" s="16">
        <v>0.5007339513129634</v>
      </c>
      <c r="AU86" s="14">
        <v>0</v>
      </c>
      <c r="AV86" s="15">
        <v>0</v>
      </c>
      <c r="AW86" s="14">
        <v>0</v>
      </c>
      <c r="AX86" s="14">
        <v>0</v>
      </c>
      <c r="AY86" s="14">
        <v>0</v>
      </c>
      <c r="AZ86" s="14">
        <v>0</v>
      </c>
      <c r="BA86" s="14">
        <v>0</v>
      </c>
      <c r="BB86" s="14">
        <v>0</v>
      </c>
      <c r="BC86" s="16">
        <v>0</v>
      </c>
    </row>
    <row r="87" spans="1:55" ht="12.75">
      <c r="A87" s="23">
        <v>6.4</v>
      </c>
      <c r="B87" s="19" t="s">
        <v>584</v>
      </c>
      <c r="C87" s="14">
        <v>680</v>
      </c>
      <c r="D87" s="15">
        <v>0.37777777777777777</v>
      </c>
      <c r="E87" s="14">
        <v>0</v>
      </c>
      <c r="F87" s="14">
        <v>51.24675555555555</v>
      </c>
      <c r="G87" s="14">
        <v>39.14</v>
      </c>
      <c r="H87" s="14">
        <v>0</v>
      </c>
      <c r="I87" s="14">
        <v>28.92376113128132</v>
      </c>
      <c r="J87" s="14">
        <v>119.31051668683688</v>
      </c>
      <c r="K87" s="22"/>
      <c r="N87" s="14">
        <v>70</v>
      </c>
      <c r="O87" s="15">
        <v>0.03888888888888889</v>
      </c>
      <c r="P87" s="14">
        <v>0</v>
      </c>
      <c r="Q87" s="14">
        <v>5.9750444444444435</v>
      </c>
      <c r="R87" s="14">
        <v>0</v>
      </c>
      <c r="S87" s="14">
        <v>0</v>
      </c>
      <c r="T87" s="14">
        <v>1.912014179485374</v>
      </c>
      <c r="U87" s="14">
        <v>7.887058623929818</v>
      </c>
      <c r="V87" s="16">
        <v>0.06610530943078188</v>
      </c>
      <c r="Y87" s="14">
        <v>370</v>
      </c>
      <c r="Z87" s="15">
        <v>0.20555555555555555</v>
      </c>
      <c r="AA87" s="14">
        <v>0</v>
      </c>
      <c r="AB87" s="14">
        <v>29.7952</v>
      </c>
      <c r="AC87" s="14">
        <v>0</v>
      </c>
      <c r="AD87" s="14">
        <v>0</v>
      </c>
      <c r="AE87" s="14">
        <v>9.534463786888123</v>
      </c>
      <c r="AF87" s="14">
        <v>39.329663786888126</v>
      </c>
      <c r="AG87" s="16">
        <v>0.32964121587135187</v>
      </c>
      <c r="AJ87" s="14">
        <v>240</v>
      </c>
      <c r="AK87" s="15">
        <v>0.13333333333333333</v>
      </c>
      <c r="AL87" s="14">
        <v>0</v>
      </c>
      <c r="AM87" s="14">
        <v>15.476511111111112</v>
      </c>
      <c r="AN87" s="14">
        <v>39.14</v>
      </c>
      <c r="AO87" s="14">
        <v>0</v>
      </c>
      <c r="AP87" s="14">
        <v>17.477283164907824</v>
      </c>
      <c r="AQ87" s="14">
        <v>72.09379427601894</v>
      </c>
      <c r="AR87" s="16">
        <v>0.6042534746978663</v>
      </c>
      <c r="AU87" s="14">
        <v>0</v>
      </c>
      <c r="AV87" s="15">
        <v>0</v>
      </c>
      <c r="AW87" s="14">
        <v>0</v>
      </c>
      <c r="AX87" s="14">
        <v>0</v>
      </c>
      <c r="AY87" s="14">
        <v>0</v>
      </c>
      <c r="AZ87" s="14">
        <v>0</v>
      </c>
      <c r="BA87" s="14">
        <v>0</v>
      </c>
      <c r="BB87" s="14">
        <v>0</v>
      </c>
      <c r="BC87" s="16">
        <v>0</v>
      </c>
    </row>
    <row r="88" spans="1:56" ht="12.75">
      <c r="A88" s="8">
        <v>7</v>
      </c>
      <c r="B88" s="9" t="s">
        <v>585</v>
      </c>
      <c r="C88" s="25"/>
      <c r="D88" s="25"/>
      <c r="E88" s="25"/>
      <c r="F88" s="25"/>
      <c r="G88" s="25"/>
      <c r="H88" s="25"/>
      <c r="I88" s="25"/>
      <c r="J88" s="25"/>
      <c r="K88" s="11">
        <v>0.04574544546462308</v>
      </c>
      <c r="L88" s="12">
        <v>1931.6826373113986</v>
      </c>
      <c r="N88" s="25"/>
      <c r="O88" s="25"/>
      <c r="P88" s="25"/>
      <c r="Q88" s="25"/>
      <c r="R88" s="25"/>
      <c r="S88" s="25"/>
      <c r="T88" s="25"/>
      <c r="U88" s="25"/>
      <c r="V88" s="25"/>
      <c r="W88" s="12">
        <v>116.12322425428611</v>
      </c>
      <c r="Y88" s="25"/>
      <c r="Z88" s="25"/>
      <c r="AA88" s="25"/>
      <c r="AB88" s="25"/>
      <c r="AC88" s="25"/>
      <c r="AD88" s="25"/>
      <c r="AE88" s="25"/>
      <c r="AF88" s="25"/>
      <c r="AG88" s="25"/>
      <c r="AH88" s="12">
        <v>505.12898155023595</v>
      </c>
      <c r="AJ88" s="25"/>
      <c r="AK88" s="25"/>
      <c r="AL88" s="25"/>
      <c r="AM88" s="25"/>
      <c r="AN88" s="25"/>
      <c r="AO88" s="25"/>
      <c r="AP88" s="25"/>
      <c r="AQ88" s="25"/>
      <c r="AR88" s="25"/>
      <c r="AS88" s="12">
        <v>1289.9170937013103</v>
      </c>
      <c r="AU88" s="25"/>
      <c r="AV88" s="25"/>
      <c r="AW88" s="25"/>
      <c r="AX88" s="25"/>
      <c r="AY88" s="25"/>
      <c r="AZ88" s="25"/>
      <c r="BA88" s="25"/>
      <c r="BB88" s="25"/>
      <c r="BC88" s="25"/>
      <c r="BD88" s="12">
        <v>20.51333780556619</v>
      </c>
    </row>
    <row r="89" spans="1:55" ht="12.75">
      <c r="A89" s="13">
        <v>7.1</v>
      </c>
      <c r="B89" s="19" t="s">
        <v>586</v>
      </c>
      <c r="C89" s="14">
        <v>0</v>
      </c>
      <c r="D89" s="15">
        <v>0</v>
      </c>
      <c r="E89" s="14">
        <v>0</v>
      </c>
      <c r="F89" s="14">
        <v>0</v>
      </c>
      <c r="G89" s="14">
        <v>0</v>
      </c>
      <c r="H89" s="14">
        <v>0</v>
      </c>
      <c r="I89" s="14">
        <v>0</v>
      </c>
      <c r="J89" s="14">
        <v>0</v>
      </c>
      <c r="K89" s="22"/>
      <c r="N89" s="14">
        <v>0</v>
      </c>
      <c r="O89" s="15">
        <v>0</v>
      </c>
      <c r="P89" s="14">
        <v>0</v>
      </c>
      <c r="Q89" s="14">
        <v>0</v>
      </c>
      <c r="R89" s="14">
        <v>0</v>
      </c>
      <c r="S89" s="14">
        <v>0</v>
      </c>
      <c r="T89" s="14">
        <v>0</v>
      </c>
      <c r="U89" s="14">
        <v>0</v>
      </c>
      <c r="V89" s="16">
        <v>0</v>
      </c>
      <c r="Y89" s="14">
        <v>0</v>
      </c>
      <c r="Z89" s="15">
        <v>0</v>
      </c>
      <c r="AA89" s="14">
        <v>0</v>
      </c>
      <c r="AB89" s="14">
        <v>0</v>
      </c>
      <c r="AC89" s="14">
        <v>0</v>
      </c>
      <c r="AD89" s="14">
        <v>0</v>
      </c>
      <c r="AE89" s="14">
        <v>0</v>
      </c>
      <c r="AF89" s="14">
        <v>0</v>
      </c>
      <c r="AG89" s="16">
        <v>0</v>
      </c>
      <c r="AJ89" s="14">
        <v>0</v>
      </c>
      <c r="AK89" s="15">
        <v>0</v>
      </c>
      <c r="AL89" s="14">
        <v>0</v>
      </c>
      <c r="AM89" s="14">
        <v>0</v>
      </c>
      <c r="AN89" s="14">
        <v>0</v>
      </c>
      <c r="AO89" s="14">
        <v>0</v>
      </c>
      <c r="AP89" s="14">
        <v>0</v>
      </c>
      <c r="AQ89" s="14">
        <v>0</v>
      </c>
      <c r="AR89" s="16">
        <v>0</v>
      </c>
      <c r="AU89" s="14">
        <v>0</v>
      </c>
      <c r="AV89" s="15">
        <v>0</v>
      </c>
      <c r="AW89" s="14">
        <v>0</v>
      </c>
      <c r="AX89" s="14">
        <v>0</v>
      </c>
      <c r="AY89" s="14">
        <v>0</v>
      </c>
      <c r="AZ89" s="14">
        <v>0</v>
      </c>
      <c r="BA89" s="14">
        <v>0</v>
      </c>
      <c r="BB89" s="14">
        <v>0</v>
      </c>
      <c r="BC89" s="16">
        <v>0</v>
      </c>
    </row>
    <row r="90" spans="1:55" ht="12.75">
      <c r="A90" s="13">
        <v>7.2</v>
      </c>
      <c r="B90" s="13" t="s">
        <v>587</v>
      </c>
      <c r="C90" s="14">
        <v>6270</v>
      </c>
      <c r="D90" s="15">
        <v>3.4833333333333334</v>
      </c>
      <c r="E90" s="14">
        <v>3</v>
      </c>
      <c r="F90" s="14">
        <v>381.0160333333333</v>
      </c>
      <c r="G90" s="14">
        <v>351.21</v>
      </c>
      <c r="H90" s="14">
        <v>12.175205322265626</v>
      </c>
      <c r="I90" s="14">
        <v>181.79780340180608</v>
      </c>
      <c r="J90" s="14">
        <v>926.199042057405</v>
      </c>
      <c r="K90" s="22"/>
      <c r="N90" s="14">
        <v>660</v>
      </c>
      <c r="O90" s="15">
        <v>0.36666666666666664</v>
      </c>
      <c r="P90" s="14">
        <v>1</v>
      </c>
      <c r="Q90" s="14">
        <v>45.34455555555555</v>
      </c>
      <c r="R90" s="14">
        <v>5</v>
      </c>
      <c r="S90" s="14">
        <v>3.771735107421875</v>
      </c>
      <c r="T90" s="14">
        <v>14.070235056280966</v>
      </c>
      <c r="U90" s="14">
        <v>68.1865257192584</v>
      </c>
      <c r="V90" s="16">
        <v>0.07361973250133448</v>
      </c>
      <c r="Y90" s="14">
        <v>2450</v>
      </c>
      <c r="Z90" s="15">
        <v>1.3611111111111112</v>
      </c>
      <c r="AA90" s="14">
        <v>0</v>
      </c>
      <c r="AB90" s="14">
        <v>164.91523333333333</v>
      </c>
      <c r="AC90" s="14">
        <v>30</v>
      </c>
      <c r="AD90" s="14">
        <v>0.86</v>
      </c>
      <c r="AE90" s="14">
        <v>39.15504725012233</v>
      </c>
      <c r="AF90" s="14">
        <v>234.93028058345567</v>
      </c>
      <c r="AG90" s="16">
        <v>0.2536498850847385</v>
      </c>
      <c r="AJ90" s="14">
        <v>3160</v>
      </c>
      <c r="AK90" s="15">
        <v>1.7555555555555555</v>
      </c>
      <c r="AL90" s="14">
        <v>2</v>
      </c>
      <c r="AM90" s="14">
        <v>170.75624444444446</v>
      </c>
      <c r="AN90" s="14">
        <v>316.21</v>
      </c>
      <c r="AO90" s="14">
        <v>7.54347021484375</v>
      </c>
      <c r="AP90" s="14">
        <v>128.57252109540278</v>
      </c>
      <c r="AQ90" s="14">
        <v>623.0822357546909</v>
      </c>
      <c r="AR90" s="16">
        <v>0.672730382413927</v>
      </c>
      <c r="AU90" s="14">
        <v>0</v>
      </c>
      <c r="AV90" s="15">
        <v>0</v>
      </c>
      <c r="AW90" s="14">
        <v>0</v>
      </c>
      <c r="AX90" s="14">
        <v>0</v>
      </c>
      <c r="AY90" s="14">
        <v>0</v>
      </c>
      <c r="AZ90" s="14">
        <v>0</v>
      </c>
      <c r="BA90" s="14">
        <v>0</v>
      </c>
      <c r="BB90" s="14">
        <v>0</v>
      </c>
      <c r="BC90" s="16">
        <v>0</v>
      </c>
    </row>
    <row r="91" spans="1:55" ht="12.75">
      <c r="A91" s="13">
        <v>7.3</v>
      </c>
      <c r="B91" s="19" t="s">
        <v>588</v>
      </c>
      <c r="C91" s="14">
        <v>4423</v>
      </c>
      <c r="D91" s="15">
        <v>2.457222222222222</v>
      </c>
      <c r="E91" s="14">
        <v>0</v>
      </c>
      <c r="F91" s="14">
        <v>247.81262555555554</v>
      </c>
      <c r="G91" s="14">
        <v>354.002</v>
      </c>
      <c r="H91" s="14">
        <v>0</v>
      </c>
      <c r="I91" s="14">
        <v>132.39921690480327</v>
      </c>
      <c r="J91" s="14">
        <v>734.2138424603588</v>
      </c>
      <c r="K91" s="22"/>
      <c r="N91" s="14">
        <v>280</v>
      </c>
      <c r="O91" s="15">
        <v>0.15555555555555556</v>
      </c>
      <c r="P91" s="14">
        <v>0</v>
      </c>
      <c r="Q91" s="14">
        <v>21.857688888888887</v>
      </c>
      <c r="R91" s="14">
        <v>0</v>
      </c>
      <c r="S91" s="14">
        <v>0</v>
      </c>
      <c r="T91" s="14">
        <v>4.80869152949916</v>
      </c>
      <c r="U91" s="14">
        <v>26.666380418388048</v>
      </c>
      <c r="V91" s="16">
        <v>0.036319637244959464</v>
      </c>
      <c r="Y91" s="14">
        <v>1136</v>
      </c>
      <c r="Z91" s="15">
        <v>0.6311111111111111</v>
      </c>
      <c r="AA91" s="14">
        <v>0</v>
      </c>
      <c r="AB91" s="14">
        <v>78.20801222222221</v>
      </c>
      <c r="AC91" s="14">
        <v>70</v>
      </c>
      <c r="AD91" s="14">
        <v>0</v>
      </c>
      <c r="AE91" s="14">
        <v>32.60576251221117</v>
      </c>
      <c r="AF91" s="14">
        <v>180.81377473443337</v>
      </c>
      <c r="AG91" s="16">
        <v>0.2462685450447575</v>
      </c>
      <c r="AJ91" s="14">
        <v>3007</v>
      </c>
      <c r="AK91" s="15">
        <v>1.6705555555555556</v>
      </c>
      <c r="AL91" s="14">
        <v>0</v>
      </c>
      <c r="AM91" s="14">
        <v>147.74692444444446</v>
      </c>
      <c r="AN91" s="14">
        <v>284.002</v>
      </c>
      <c r="AO91" s="14">
        <v>0</v>
      </c>
      <c r="AP91" s="14">
        <v>94.98476286309295</v>
      </c>
      <c r="AQ91" s="14">
        <v>526.7336873075374</v>
      </c>
      <c r="AR91" s="16">
        <v>0.717411817710283</v>
      </c>
      <c r="AU91" s="14">
        <v>0</v>
      </c>
      <c r="AV91" s="15">
        <v>0</v>
      </c>
      <c r="AW91" s="14">
        <v>0</v>
      </c>
      <c r="AX91" s="14">
        <v>0</v>
      </c>
      <c r="AY91" s="14">
        <v>0</v>
      </c>
      <c r="AZ91" s="14">
        <v>0</v>
      </c>
      <c r="BA91" s="14">
        <v>0</v>
      </c>
      <c r="BB91" s="14">
        <v>0</v>
      </c>
      <c r="BC91" s="16">
        <v>0</v>
      </c>
    </row>
    <row r="92" spans="1:55" ht="12.75">
      <c r="A92" s="13">
        <v>7.4</v>
      </c>
      <c r="B92" s="13" t="s">
        <v>589</v>
      </c>
      <c r="C92" s="14">
        <v>1200</v>
      </c>
      <c r="D92" s="15">
        <v>0.6666666666666666</v>
      </c>
      <c r="E92" s="14">
        <v>0</v>
      </c>
      <c r="F92" s="14">
        <v>89.5415111111111</v>
      </c>
      <c r="G92" s="14">
        <v>46.35</v>
      </c>
      <c r="H92" s="14">
        <v>0</v>
      </c>
      <c r="I92" s="14">
        <v>17.395956098404525</v>
      </c>
      <c r="J92" s="14">
        <v>153.28746720951563</v>
      </c>
      <c r="K92" s="22"/>
      <c r="N92" s="14">
        <v>100</v>
      </c>
      <c r="O92" s="15">
        <v>0.05555555555555555</v>
      </c>
      <c r="P92" s="14">
        <v>0</v>
      </c>
      <c r="Q92" s="14">
        <v>8.303</v>
      </c>
      <c r="R92" s="14">
        <v>0</v>
      </c>
      <c r="S92" s="14">
        <v>0</v>
      </c>
      <c r="T92" s="14">
        <v>0.8303000123724341</v>
      </c>
      <c r="U92" s="14">
        <v>9.133300012372436</v>
      </c>
      <c r="V92" s="16">
        <v>0.05958282290546887</v>
      </c>
      <c r="Y92" s="14">
        <v>380</v>
      </c>
      <c r="Z92" s="15">
        <v>0.2111111111111111</v>
      </c>
      <c r="AA92" s="14">
        <v>0</v>
      </c>
      <c r="AB92" s="14">
        <v>32.80393333333333</v>
      </c>
      <c r="AC92" s="14">
        <v>0</v>
      </c>
      <c r="AD92" s="14">
        <v>0</v>
      </c>
      <c r="AE92" s="14">
        <v>3.2803933822150033</v>
      </c>
      <c r="AF92" s="14">
        <v>36.084326715548336</v>
      </c>
      <c r="AG92" s="16">
        <v>0.23540298089880846</v>
      </c>
      <c r="AJ92" s="14">
        <v>520</v>
      </c>
      <c r="AK92" s="15">
        <v>0.28888888888888886</v>
      </c>
      <c r="AL92" s="14">
        <v>0</v>
      </c>
      <c r="AM92" s="14">
        <v>29.786088888888887</v>
      </c>
      <c r="AN92" s="14">
        <v>46.35</v>
      </c>
      <c r="AO92" s="14">
        <v>0</v>
      </c>
      <c r="AP92" s="14">
        <v>11.420413787139786</v>
      </c>
      <c r="AQ92" s="14">
        <v>87.55650267602869</v>
      </c>
      <c r="AR92" s="16">
        <v>0.5711915283743004</v>
      </c>
      <c r="AU92" s="14">
        <v>200</v>
      </c>
      <c r="AV92" s="15">
        <v>0.1111111111111111</v>
      </c>
      <c r="AW92" s="14">
        <v>0</v>
      </c>
      <c r="AX92" s="14">
        <v>18.64848888888889</v>
      </c>
      <c r="AY92" s="14">
        <v>0</v>
      </c>
      <c r="AZ92" s="14">
        <v>0</v>
      </c>
      <c r="BA92" s="14">
        <v>1.8648489166773028</v>
      </c>
      <c r="BB92" s="14">
        <v>20.51333780556619</v>
      </c>
      <c r="BC92" s="16">
        <v>0.13382266782142244</v>
      </c>
    </row>
    <row r="93" spans="1:55" ht="12.75">
      <c r="A93" s="13">
        <v>7.5</v>
      </c>
      <c r="B93" s="19" t="s">
        <v>590</v>
      </c>
      <c r="C93" s="14">
        <v>1024</v>
      </c>
      <c r="D93" s="15">
        <v>0.5688888888888889</v>
      </c>
      <c r="E93" s="14">
        <v>0</v>
      </c>
      <c r="F93" s="14">
        <v>74.62132666666666</v>
      </c>
      <c r="G93" s="14">
        <v>30.72</v>
      </c>
      <c r="H93" s="14">
        <v>0</v>
      </c>
      <c r="I93" s="14">
        <v>12.640958917452544</v>
      </c>
      <c r="J93" s="14">
        <v>117.98228558411921</v>
      </c>
      <c r="K93" s="22"/>
      <c r="N93" s="14">
        <v>61</v>
      </c>
      <c r="O93" s="15">
        <v>0.03388888888888889</v>
      </c>
      <c r="P93" s="14">
        <v>0</v>
      </c>
      <c r="Q93" s="14">
        <v>4.836623333333333</v>
      </c>
      <c r="R93" s="14">
        <v>6</v>
      </c>
      <c r="S93" s="14">
        <v>0</v>
      </c>
      <c r="T93" s="14">
        <v>1.3003947709339112</v>
      </c>
      <c r="U93" s="14">
        <v>12.137018104267243</v>
      </c>
      <c r="V93" s="16">
        <v>0.10287152892638082</v>
      </c>
      <c r="Y93" s="14">
        <v>619</v>
      </c>
      <c r="Z93" s="15">
        <v>0.3438888888888889</v>
      </c>
      <c r="AA93" s="14">
        <v>0</v>
      </c>
      <c r="AB93" s="14">
        <v>47.58982111111111</v>
      </c>
      <c r="AC93" s="14">
        <v>0</v>
      </c>
      <c r="AD93" s="14">
        <v>0</v>
      </c>
      <c r="AE93" s="14">
        <v>5.710778405687486</v>
      </c>
      <c r="AF93" s="14">
        <v>53.30059951679859</v>
      </c>
      <c r="AG93" s="16">
        <v>0.4517678162693012</v>
      </c>
      <c r="AJ93" s="14">
        <v>344</v>
      </c>
      <c r="AK93" s="15">
        <v>0.19111111111111112</v>
      </c>
      <c r="AL93" s="14">
        <v>0</v>
      </c>
      <c r="AM93" s="14">
        <v>22.194882222222223</v>
      </c>
      <c r="AN93" s="14">
        <v>24.72</v>
      </c>
      <c r="AO93" s="14">
        <v>0</v>
      </c>
      <c r="AP93" s="14">
        <v>5.629785740831147</v>
      </c>
      <c r="AQ93" s="14">
        <v>52.544667963053364</v>
      </c>
      <c r="AR93" s="16">
        <v>0.44536065480431786</v>
      </c>
      <c r="AU93" s="14">
        <v>0</v>
      </c>
      <c r="AV93" s="15">
        <v>0</v>
      </c>
      <c r="AW93" s="14">
        <v>0</v>
      </c>
      <c r="AX93" s="14">
        <v>0</v>
      </c>
      <c r="AY93" s="14">
        <v>0</v>
      </c>
      <c r="AZ93" s="14">
        <v>0</v>
      </c>
      <c r="BA93" s="14">
        <v>0</v>
      </c>
      <c r="BB93" s="14">
        <v>0</v>
      </c>
      <c r="BC93" s="16">
        <v>0</v>
      </c>
    </row>
    <row r="94" spans="1:56" ht="12.75">
      <c r="A94" s="8">
        <v>8</v>
      </c>
      <c r="B94" s="9" t="s">
        <v>591</v>
      </c>
      <c r="C94" s="25"/>
      <c r="D94" s="25"/>
      <c r="E94" s="25"/>
      <c r="F94" s="25"/>
      <c r="G94" s="25"/>
      <c r="H94" s="25"/>
      <c r="I94" s="25"/>
      <c r="J94" s="25"/>
      <c r="K94" s="11">
        <v>0.06478030935292621</v>
      </c>
      <c r="L94" s="12">
        <v>2735.4635537100853</v>
      </c>
      <c r="N94" s="25"/>
      <c r="O94" s="25"/>
      <c r="P94" s="25"/>
      <c r="Q94" s="25"/>
      <c r="R94" s="25"/>
      <c r="S94" s="25"/>
      <c r="T94" s="25"/>
      <c r="U94" s="25"/>
      <c r="V94" s="25"/>
      <c r="W94" s="12">
        <v>50.23234480839208</v>
      </c>
      <c r="Y94" s="25"/>
      <c r="Z94" s="25"/>
      <c r="AA94" s="25"/>
      <c r="AB94" s="25"/>
      <c r="AC94" s="25"/>
      <c r="AD94" s="25"/>
      <c r="AE94" s="25"/>
      <c r="AF94" s="25"/>
      <c r="AG94" s="25"/>
      <c r="AH94" s="12">
        <v>114.68755898093855</v>
      </c>
      <c r="AJ94" s="25"/>
      <c r="AK94" s="25"/>
      <c r="AL94" s="25"/>
      <c r="AM94" s="25"/>
      <c r="AN94" s="25"/>
      <c r="AO94" s="25"/>
      <c r="AP94" s="25"/>
      <c r="AQ94" s="25"/>
      <c r="AR94" s="25"/>
      <c r="AS94" s="12">
        <v>136.36902866260095</v>
      </c>
      <c r="AU94" s="25"/>
      <c r="AV94" s="25"/>
      <c r="AW94" s="25"/>
      <c r="AX94" s="25"/>
      <c r="AY94" s="25"/>
      <c r="AZ94" s="25"/>
      <c r="BA94" s="25"/>
      <c r="BB94" s="25"/>
      <c r="BC94" s="25"/>
      <c r="BD94" s="12">
        <v>2434.174621258154</v>
      </c>
    </row>
    <row r="95" spans="1:55" ht="12.75">
      <c r="A95" s="13">
        <v>8.1</v>
      </c>
      <c r="B95" s="19" t="s">
        <v>592</v>
      </c>
      <c r="C95" s="14">
        <v>4040</v>
      </c>
      <c r="D95" s="15">
        <v>2.2444444444444445</v>
      </c>
      <c r="E95" s="14">
        <v>0</v>
      </c>
      <c r="F95" s="14">
        <v>220.14827555555553</v>
      </c>
      <c r="G95" s="14">
        <v>20.6</v>
      </c>
      <c r="H95" s="14">
        <v>0</v>
      </c>
      <c r="I95" s="14">
        <v>85.31302882681872</v>
      </c>
      <c r="J95" s="14">
        <v>326.06130438237426</v>
      </c>
      <c r="K95" s="22"/>
      <c r="N95" s="14">
        <v>120</v>
      </c>
      <c r="O95" s="15">
        <v>0.06666666666666667</v>
      </c>
      <c r="P95" s="14">
        <v>0</v>
      </c>
      <c r="Q95" s="14">
        <v>7.63258888888889</v>
      </c>
      <c r="R95" s="14">
        <v>0</v>
      </c>
      <c r="S95" s="14">
        <v>0</v>
      </c>
      <c r="T95" s="14">
        <v>0.7632589002623327</v>
      </c>
      <c r="U95" s="14">
        <v>8.395847789151222</v>
      </c>
      <c r="V95" s="16">
        <v>0.025749292161652386</v>
      </c>
      <c r="Y95" s="14">
        <v>480</v>
      </c>
      <c r="Z95" s="15">
        <v>0.26666666666666666</v>
      </c>
      <c r="AA95" s="14">
        <v>0</v>
      </c>
      <c r="AB95" s="14">
        <v>26.744666666666664</v>
      </c>
      <c r="AC95" s="14">
        <v>0</v>
      </c>
      <c r="AD95" s="14">
        <v>0</v>
      </c>
      <c r="AE95" s="14">
        <v>2.674466706519325</v>
      </c>
      <c r="AF95" s="14">
        <v>29.41913337318599</v>
      </c>
      <c r="AG95" s="16">
        <v>0.09022577342905423</v>
      </c>
      <c r="AJ95" s="14">
        <v>40</v>
      </c>
      <c r="AK95" s="15">
        <v>0.022222222222222223</v>
      </c>
      <c r="AL95" s="14">
        <v>0</v>
      </c>
      <c r="AM95" s="14">
        <v>2.2436866666666666</v>
      </c>
      <c r="AN95" s="14">
        <v>0</v>
      </c>
      <c r="AO95" s="14">
        <v>0</v>
      </c>
      <c r="AP95" s="14">
        <v>0.2243686700100203</v>
      </c>
      <c r="AQ95" s="14">
        <v>2.468055336676687</v>
      </c>
      <c r="AR95" s="16">
        <v>0.007569298483153898</v>
      </c>
      <c r="AU95" s="14">
        <v>3400</v>
      </c>
      <c r="AV95" s="15">
        <v>1.8888888888888888</v>
      </c>
      <c r="AW95" s="14">
        <v>0</v>
      </c>
      <c r="AX95" s="14">
        <v>183.5273333333333</v>
      </c>
      <c r="AY95" s="14">
        <v>20.6</v>
      </c>
      <c r="AZ95" s="14">
        <v>0</v>
      </c>
      <c r="BA95" s="14">
        <v>81.65093455002705</v>
      </c>
      <c r="BB95" s="14">
        <v>285.77826788336034</v>
      </c>
      <c r="BC95" s="16">
        <v>0.8764556359261394</v>
      </c>
    </row>
    <row r="96" spans="1:55" ht="12.75">
      <c r="A96" s="13">
        <v>8.2</v>
      </c>
      <c r="B96" s="13" t="s">
        <v>593</v>
      </c>
      <c r="C96" s="14">
        <v>1040</v>
      </c>
      <c r="D96" s="15">
        <v>0.5777777777777777</v>
      </c>
      <c r="E96" s="14">
        <v>0</v>
      </c>
      <c r="F96" s="14">
        <v>46.773955555555546</v>
      </c>
      <c r="G96" s="14">
        <v>40.17</v>
      </c>
      <c r="H96" s="14">
        <v>0</v>
      </c>
      <c r="I96" s="14">
        <v>17.38879137022429</v>
      </c>
      <c r="J96" s="14">
        <v>104.33274692577984</v>
      </c>
      <c r="K96" s="22"/>
      <c r="N96" s="14">
        <v>0</v>
      </c>
      <c r="O96" s="15">
        <v>0</v>
      </c>
      <c r="P96" s="14">
        <v>0</v>
      </c>
      <c r="Q96" s="14">
        <v>0</v>
      </c>
      <c r="R96" s="14">
        <v>0</v>
      </c>
      <c r="S96" s="14">
        <v>0</v>
      </c>
      <c r="T96" s="14">
        <v>0</v>
      </c>
      <c r="U96" s="14">
        <v>0</v>
      </c>
      <c r="V96" s="16">
        <v>0</v>
      </c>
      <c r="Y96" s="14">
        <v>0</v>
      </c>
      <c r="Z96" s="15">
        <v>0</v>
      </c>
      <c r="AA96" s="14">
        <v>0</v>
      </c>
      <c r="AB96" s="14">
        <v>0</v>
      </c>
      <c r="AC96" s="14">
        <v>0</v>
      </c>
      <c r="AD96" s="14">
        <v>0</v>
      </c>
      <c r="AE96" s="14">
        <v>0</v>
      </c>
      <c r="AF96" s="14">
        <v>0</v>
      </c>
      <c r="AG96" s="16">
        <v>0</v>
      </c>
      <c r="AJ96" s="14">
        <v>0</v>
      </c>
      <c r="AK96" s="15">
        <v>0</v>
      </c>
      <c r="AL96" s="14">
        <v>0</v>
      </c>
      <c r="AM96" s="14">
        <v>0</v>
      </c>
      <c r="AN96" s="14">
        <v>0</v>
      </c>
      <c r="AO96" s="14">
        <v>0</v>
      </c>
      <c r="AP96" s="14">
        <v>0</v>
      </c>
      <c r="AQ96" s="14">
        <v>0</v>
      </c>
      <c r="AR96" s="16">
        <v>0</v>
      </c>
      <c r="AU96" s="14">
        <v>1040</v>
      </c>
      <c r="AV96" s="15">
        <v>0.5777777777777777</v>
      </c>
      <c r="AW96" s="14">
        <v>0</v>
      </c>
      <c r="AX96" s="14">
        <v>46.773955555555546</v>
      </c>
      <c r="AY96" s="14">
        <v>40.17</v>
      </c>
      <c r="AZ96" s="14">
        <v>0</v>
      </c>
      <c r="BA96" s="14">
        <v>17.38879137022429</v>
      </c>
      <c r="BB96" s="14">
        <v>104.33274692577984</v>
      </c>
      <c r="BC96" s="16">
        <v>1</v>
      </c>
    </row>
    <row r="97" spans="1:55" ht="12.75">
      <c r="A97" s="13">
        <v>8.3</v>
      </c>
      <c r="B97" s="13" t="s">
        <v>594</v>
      </c>
      <c r="C97" s="14">
        <v>1100</v>
      </c>
      <c r="D97" s="15">
        <v>0.6111111111111112</v>
      </c>
      <c r="E97" s="14">
        <v>0</v>
      </c>
      <c r="F97" s="14">
        <v>51.86758888888889</v>
      </c>
      <c r="G97" s="14">
        <v>40.685</v>
      </c>
      <c r="H97" s="14">
        <v>0</v>
      </c>
      <c r="I97" s="14">
        <v>24.06367222846084</v>
      </c>
      <c r="J97" s="14">
        <v>116.61626111734974</v>
      </c>
      <c r="K97" s="22"/>
      <c r="N97" s="14">
        <v>0</v>
      </c>
      <c r="O97" s="15">
        <v>0</v>
      </c>
      <c r="P97" s="14">
        <v>0</v>
      </c>
      <c r="Q97" s="14">
        <v>0</v>
      </c>
      <c r="R97" s="14">
        <v>0</v>
      </c>
      <c r="S97" s="14">
        <v>0</v>
      </c>
      <c r="T97" s="14">
        <v>0</v>
      </c>
      <c r="U97" s="14">
        <v>0</v>
      </c>
      <c r="V97" s="16">
        <v>0</v>
      </c>
      <c r="Y97" s="14">
        <v>0</v>
      </c>
      <c r="Z97" s="15">
        <v>0</v>
      </c>
      <c r="AA97" s="14">
        <v>0</v>
      </c>
      <c r="AB97" s="14">
        <v>0</v>
      </c>
      <c r="AC97" s="14">
        <v>0</v>
      </c>
      <c r="AD97" s="14">
        <v>0</v>
      </c>
      <c r="AE97" s="14">
        <v>0</v>
      </c>
      <c r="AF97" s="14">
        <v>0</v>
      </c>
      <c r="AG97" s="16">
        <v>0</v>
      </c>
      <c r="AJ97" s="14">
        <v>0</v>
      </c>
      <c r="AK97" s="15">
        <v>0</v>
      </c>
      <c r="AL97" s="14">
        <v>0</v>
      </c>
      <c r="AM97" s="14">
        <v>0</v>
      </c>
      <c r="AN97" s="14">
        <v>0</v>
      </c>
      <c r="AO97" s="14">
        <v>0</v>
      </c>
      <c r="AP97" s="14">
        <v>0</v>
      </c>
      <c r="AQ97" s="14">
        <v>0</v>
      </c>
      <c r="AR97" s="16">
        <v>0</v>
      </c>
      <c r="AU97" s="14">
        <v>1100</v>
      </c>
      <c r="AV97" s="15">
        <v>0.6111111111111112</v>
      </c>
      <c r="AW97" s="14">
        <v>0</v>
      </c>
      <c r="AX97" s="14">
        <v>51.86758888888889</v>
      </c>
      <c r="AY97" s="14">
        <v>40.685</v>
      </c>
      <c r="AZ97" s="14">
        <v>0</v>
      </c>
      <c r="BA97" s="14">
        <v>24.06367222846084</v>
      </c>
      <c r="BB97" s="14">
        <v>116.61626111734974</v>
      </c>
      <c r="BC97" s="16">
        <v>1</v>
      </c>
    </row>
    <row r="98" spans="1:55" ht="12.75">
      <c r="A98" s="13">
        <v>8.4</v>
      </c>
      <c r="B98" s="13" t="s">
        <v>595</v>
      </c>
      <c r="C98" s="14">
        <v>6850</v>
      </c>
      <c r="D98" s="15">
        <v>3.8055555555555554</v>
      </c>
      <c r="E98" s="14">
        <v>4</v>
      </c>
      <c r="F98" s="14">
        <v>443.1758166666668</v>
      </c>
      <c r="G98" s="14">
        <v>10.3</v>
      </c>
      <c r="H98" s="14">
        <v>27.55694140625</v>
      </c>
      <c r="I98" s="14">
        <v>92.7978149127216</v>
      </c>
      <c r="J98" s="14">
        <v>573.8305729856384</v>
      </c>
      <c r="K98" s="22"/>
      <c r="N98" s="14">
        <v>170</v>
      </c>
      <c r="O98" s="15">
        <v>0.09444444444444444</v>
      </c>
      <c r="P98" s="14">
        <v>0</v>
      </c>
      <c r="Q98" s="14">
        <v>10.857244444444445</v>
      </c>
      <c r="R98" s="14">
        <v>0</v>
      </c>
      <c r="S98" s="14">
        <v>0</v>
      </c>
      <c r="T98" s="14">
        <v>0.8685795361412896</v>
      </c>
      <c r="U98" s="14">
        <v>11.725823980585735</v>
      </c>
      <c r="V98" s="16">
        <v>0.020434296345655332</v>
      </c>
      <c r="Y98" s="14">
        <v>100</v>
      </c>
      <c r="Z98" s="15">
        <v>0.05555555555555555</v>
      </c>
      <c r="AA98" s="14">
        <v>0</v>
      </c>
      <c r="AB98" s="14">
        <v>6.764744444444444</v>
      </c>
      <c r="AC98" s="14">
        <v>0</v>
      </c>
      <c r="AD98" s="14">
        <v>0</v>
      </c>
      <c r="AE98" s="14">
        <v>0.5411795434592499</v>
      </c>
      <c r="AF98" s="14">
        <v>7.305923987903694</v>
      </c>
      <c r="AG98" s="16">
        <v>0.012731848618471125</v>
      </c>
      <c r="AJ98" s="14">
        <v>180</v>
      </c>
      <c r="AK98" s="15">
        <v>0.1</v>
      </c>
      <c r="AL98" s="14">
        <v>0</v>
      </c>
      <c r="AM98" s="14">
        <v>10.78416111111111</v>
      </c>
      <c r="AN98" s="14">
        <v>0</v>
      </c>
      <c r="AO98" s="14">
        <v>0</v>
      </c>
      <c r="AP98" s="14">
        <v>0.862732869605306</v>
      </c>
      <c r="AQ98" s="14">
        <v>11.646893980716417</v>
      </c>
      <c r="AR98" s="16">
        <v>0.020296747034787063</v>
      </c>
      <c r="AU98" s="14">
        <v>6400</v>
      </c>
      <c r="AV98" s="15">
        <v>3.5555555555555554</v>
      </c>
      <c r="AW98" s="14">
        <v>4</v>
      </c>
      <c r="AX98" s="14">
        <v>414.76966666666675</v>
      </c>
      <c r="AY98" s="14">
        <v>10.3</v>
      </c>
      <c r="AZ98" s="14">
        <v>27.55694140625</v>
      </c>
      <c r="BA98" s="14">
        <v>90.52532296351576</v>
      </c>
      <c r="BB98" s="14">
        <v>543.1519310364325</v>
      </c>
      <c r="BC98" s="16">
        <v>0.9465371080010865</v>
      </c>
    </row>
    <row r="99" spans="1:55" ht="12.75">
      <c r="A99" s="13">
        <v>8.5</v>
      </c>
      <c r="B99" s="19" t="s">
        <v>596</v>
      </c>
      <c r="C99" s="14">
        <v>3798</v>
      </c>
      <c r="D99" s="15">
        <v>2.11</v>
      </c>
      <c r="E99" s="14">
        <v>0</v>
      </c>
      <c r="F99" s="14">
        <v>230.7275977777778</v>
      </c>
      <c r="G99" s="14">
        <v>0</v>
      </c>
      <c r="H99" s="14">
        <v>0</v>
      </c>
      <c r="I99" s="14">
        <v>58.72547245412257</v>
      </c>
      <c r="J99" s="14">
        <v>289.45307023190037</v>
      </c>
      <c r="K99" s="22"/>
      <c r="N99" s="14">
        <v>212</v>
      </c>
      <c r="O99" s="15">
        <v>0.11777777777777777</v>
      </c>
      <c r="P99" s="14">
        <v>0</v>
      </c>
      <c r="Q99" s="14">
        <v>16.206546666666664</v>
      </c>
      <c r="R99" s="14">
        <v>0</v>
      </c>
      <c r="S99" s="14">
        <v>0</v>
      </c>
      <c r="T99" s="14">
        <v>1.2965237043537696</v>
      </c>
      <c r="U99" s="14">
        <v>17.503070371020435</v>
      </c>
      <c r="V99" s="16">
        <v>0.06046945833740007</v>
      </c>
      <c r="Y99" s="14">
        <v>176</v>
      </c>
      <c r="Z99" s="15">
        <v>0.09777777777777778</v>
      </c>
      <c r="AA99" s="14">
        <v>0</v>
      </c>
      <c r="AB99" s="14">
        <v>13.18472888888889</v>
      </c>
      <c r="AC99" s="14">
        <v>0</v>
      </c>
      <c r="AD99" s="14">
        <v>0</v>
      </c>
      <c r="AE99" s="14">
        <v>1.0547782875349787</v>
      </c>
      <c r="AF99" s="14">
        <v>14.239507176423867</v>
      </c>
      <c r="AG99" s="16">
        <v>0.04919452802838</v>
      </c>
      <c r="AJ99" s="14">
        <v>0</v>
      </c>
      <c r="AK99" s="15">
        <v>0</v>
      </c>
      <c r="AL99" s="14">
        <v>0</v>
      </c>
      <c r="AM99" s="14">
        <v>0</v>
      </c>
      <c r="AN99" s="14">
        <v>0</v>
      </c>
      <c r="AO99" s="14">
        <v>0</v>
      </c>
      <c r="AP99" s="14">
        <v>0</v>
      </c>
      <c r="AQ99" s="14">
        <v>0</v>
      </c>
      <c r="AR99" s="16">
        <v>0</v>
      </c>
      <c r="AU99" s="14">
        <v>3410</v>
      </c>
      <c r="AV99" s="15">
        <v>1.8944444444444444</v>
      </c>
      <c r="AW99" s="14">
        <v>0</v>
      </c>
      <c r="AX99" s="14">
        <v>201.33632222222224</v>
      </c>
      <c r="AY99" s="14">
        <v>0</v>
      </c>
      <c r="AZ99" s="14">
        <v>0</v>
      </c>
      <c r="BA99" s="14">
        <v>56.37417046223382</v>
      </c>
      <c r="BB99" s="14">
        <v>257.7104926844561</v>
      </c>
      <c r="BC99" s="16">
        <v>0.89033601363422</v>
      </c>
    </row>
    <row r="100" spans="1:55" ht="12.75">
      <c r="A100" s="13">
        <v>8.6</v>
      </c>
      <c r="B100" s="19" t="s">
        <v>597</v>
      </c>
      <c r="C100" s="14">
        <v>5030</v>
      </c>
      <c r="D100" s="15">
        <v>2.7944444444444443</v>
      </c>
      <c r="E100" s="14">
        <v>12</v>
      </c>
      <c r="F100" s="14">
        <v>401.14583333333337</v>
      </c>
      <c r="G100" s="14">
        <v>0</v>
      </c>
      <c r="H100" s="14">
        <v>49.5608203125</v>
      </c>
      <c r="I100" s="14">
        <v>89.56366592196785</v>
      </c>
      <c r="J100" s="14">
        <v>540.2703195678013</v>
      </c>
      <c r="K100" s="22"/>
      <c r="N100" s="14">
        <v>40</v>
      </c>
      <c r="O100" s="15">
        <v>0.022222222222222223</v>
      </c>
      <c r="P100" s="14">
        <v>0</v>
      </c>
      <c r="Q100" s="14">
        <v>3.414311111111111</v>
      </c>
      <c r="R100" s="14">
        <v>0</v>
      </c>
      <c r="S100" s="14">
        <v>0</v>
      </c>
      <c r="T100" s="14">
        <v>0.30728801221052804</v>
      </c>
      <c r="U100" s="14">
        <v>3.721599123321639</v>
      </c>
      <c r="V100" s="16">
        <v>0.006888401950895243</v>
      </c>
      <c r="Y100" s="14">
        <v>200</v>
      </c>
      <c r="Z100" s="15">
        <v>0.1111111111111111</v>
      </c>
      <c r="AA100" s="14">
        <v>0</v>
      </c>
      <c r="AB100" s="14">
        <v>18.64848888888889</v>
      </c>
      <c r="AC100" s="14">
        <v>0</v>
      </c>
      <c r="AD100" s="14">
        <v>0</v>
      </c>
      <c r="AE100" s="14">
        <v>1.6783640666921933</v>
      </c>
      <c r="AF100" s="14">
        <v>20.32685295558108</v>
      </c>
      <c r="AG100" s="16">
        <v>0.03762348627968663</v>
      </c>
      <c r="AJ100" s="14">
        <v>590</v>
      </c>
      <c r="AK100" s="15">
        <v>0.3277777777777778</v>
      </c>
      <c r="AL100" s="14">
        <v>0</v>
      </c>
      <c r="AM100" s="14">
        <v>46.23105555555556</v>
      </c>
      <c r="AN100" s="14">
        <v>0</v>
      </c>
      <c r="AO100" s="14">
        <v>0</v>
      </c>
      <c r="AP100" s="14">
        <v>11.095453085330625</v>
      </c>
      <c r="AQ100" s="14">
        <v>57.32650864088618</v>
      </c>
      <c r="AR100" s="16">
        <v>0.10610708485105295</v>
      </c>
      <c r="AU100" s="14">
        <v>4200</v>
      </c>
      <c r="AV100" s="15">
        <v>2.3333333333333335</v>
      </c>
      <c r="AW100" s="14">
        <v>12</v>
      </c>
      <c r="AX100" s="14">
        <v>332.8519777777778</v>
      </c>
      <c r="AY100" s="14">
        <v>0</v>
      </c>
      <c r="AZ100" s="14">
        <v>49.5608203125</v>
      </c>
      <c r="BA100" s="14">
        <v>76.4825607577345</v>
      </c>
      <c r="BB100" s="14">
        <v>458.8953588480123</v>
      </c>
      <c r="BC100" s="16">
        <v>0.849381026918365</v>
      </c>
    </row>
    <row r="101" spans="1:55" ht="12.75">
      <c r="A101" s="13">
        <v>8.7</v>
      </c>
      <c r="B101" s="13" t="s">
        <v>598</v>
      </c>
      <c r="C101" s="14">
        <v>3760</v>
      </c>
      <c r="D101" s="15">
        <v>2.088888888888889</v>
      </c>
      <c r="E101" s="14">
        <v>27</v>
      </c>
      <c r="F101" s="14">
        <v>265.49084444444446</v>
      </c>
      <c r="G101" s="14">
        <v>0</v>
      </c>
      <c r="H101" s="14">
        <v>148.07684375</v>
      </c>
      <c r="I101" s="14">
        <v>123.76395403342691</v>
      </c>
      <c r="J101" s="14">
        <v>537.3316422278714</v>
      </c>
      <c r="K101" s="22"/>
      <c r="N101" s="14">
        <v>0</v>
      </c>
      <c r="O101" s="15">
        <v>0</v>
      </c>
      <c r="P101" s="14">
        <v>0</v>
      </c>
      <c r="Q101" s="14">
        <v>0</v>
      </c>
      <c r="R101" s="14">
        <v>0</v>
      </c>
      <c r="S101" s="14">
        <v>0</v>
      </c>
      <c r="T101" s="14">
        <v>0</v>
      </c>
      <c r="U101" s="14">
        <v>0</v>
      </c>
      <c r="V101" s="16">
        <v>0</v>
      </c>
      <c r="Y101" s="14">
        <v>40</v>
      </c>
      <c r="Z101" s="15">
        <v>0.022222222222222223</v>
      </c>
      <c r="AA101" s="14">
        <v>0</v>
      </c>
      <c r="AB101" s="14">
        <v>1.9147333333333334</v>
      </c>
      <c r="AC101" s="14">
        <v>0</v>
      </c>
      <c r="AD101" s="14">
        <v>0</v>
      </c>
      <c r="AE101" s="14">
        <v>0.2680626678079367</v>
      </c>
      <c r="AF101" s="14">
        <v>2.18279600114127</v>
      </c>
      <c r="AG101" s="16">
        <v>0.004062288221276183</v>
      </c>
      <c r="AJ101" s="14">
        <v>0</v>
      </c>
      <c r="AK101" s="15">
        <v>0</v>
      </c>
      <c r="AL101" s="14">
        <v>0</v>
      </c>
      <c r="AM101" s="14">
        <v>0</v>
      </c>
      <c r="AN101" s="14">
        <v>0</v>
      </c>
      <c r="AO101" s="14">
        <v>0</v>
      </c>
      <c r="AP101" s="14">
        <v>0</v>
      </c>
      <c r="AQ101" s="14">
        <v>0</v>
      </c>
      <c r="AR101" s="16">
        <v>0</v>
      </c>
      <c r="AU101" s="14">
        <v>3720</v>
      </c>
      <c r="AV101" s="15">
        <v>2.066666666666667</v>
      </c>
      <c r="AW101" s="14">
        <v>27</v>
      </c>
      <c r="AX101" s="14">
        <v>263.5761111111111</v>
      </c>
      <c r="AY101" s="14">
        <v>0</v>
      </c>
      <c r="AZ101" s="14">
        <v>148.07684375</v>
      </c>
      <c r="BA101" s="14">
        <v>123.49589136561897</v>
      </c>
      <c r="BB101" s="14">
        <v>535.14884622673</v>
      </c>
      <c r="BC101" s="16">
        <v>0.9959377117787237</v>
      </c>
    </row>
    <row r="102" spans="1:55" ht="12.75">
      <c r="A102" s="13">
        <v>8.8</v>
      </c>
      <c r="B102" s="19" t="s">
        <v>599</v>
      </c>
      <c r="C102" s="14">
        <v>2420</v>
      </c>
      <c r="D102" s="15">
        <v>1.3444444444444446</v>
      </c>
      <c r="E102" s="14">
        <v>17</v>
      </c>
      <c r="F102" s="14">
        <v>150.49004444444444</v>
      </c>
      <c r="G102" s="14">
        <v>0</v>
      </c>
      <c r="H102" s="14">
        <v>64.11949755859375</v>
      </c>
      <c r="I102" s="14">
        <v>32.95809426833219</v>
      </c>
      <c r="J102" s="14">
        <v>247.5676362713704</v>
      </c>
      <c r="K102" s="22"/>
      <c r="N102" s="14">
        <v>80</v>
      </c>
      <c r="O102" s="15">
        <v>0.044444444444444446</v>
      </c>
      <c r="P102" s="14">
        <v>0</v>
      </c>
      <c r="Q102" s="14">
        <v>8.383022222222221</v>
      </c>
      <c r="R102" s="14">
        <v>0</v>
      </c>
      <c r="S102" s="14">
        <v>0</v>
      </c>
      <c r="T102" s="14">
        <v>0.5029813220908245</v>
      </c>
      <c r="U102" s="14">
        <v>8.886003544313047</v>
      </c>
      <c r="V102" s="16">
        <v>0.035893235796672085</v>
      </c>
      <c r="Y102" s="14">
        <v>460</v>
      </c>
      <c r="Z102" s="15">
        <v>0.25555555555555554</v>
      </c>
      <c r="AA102" s="14">
        <v>2</v>
      </c>
      <c r="AB102" s="14">
        <v>31.337044444444444</v>
      </c>
      <c r="AC102" s="14">
        <v>0</v>
      </c>
      <c r="AD102" s="14">
        <v>7.54347021484375</v>
      </c>
      <c r="AE102" s="14">
        <v>2.3328308274144582</v>
      </c>
      <c r="AF102" s="14">
        <v>41.21334548670265</v>
      </c>
      <c r="AG102" s="16">
        <v>0.16647307421688506</v>
      </c>
      <c r="AJ102" s="14">
        <v>600</v>
      </c>
      <c r="AK102" s="15">
        <v>0.3333333333333333</v>
      </c>
      <c r="AL102" s="14">
        <v>5</v>
      </c>
      <c r="AM102" s="14">
        <v>36.16468888888889</v>
      </c>
      <c r="AN102" s="14">
        <v>0</v>
      </c>
      <c r="AO102" s="14">
        <v>18.85867578125</v>
      </c>
      <c r="AP102" s="14">
        <v>9.904206034182772</v>
      </c>
      <c r="AQ102" s="14">
        <v>64.92757070432167</v>
      </c>
      <c r="AR102" s="16">
        <v>0.2622619486222001</v>
      </c>
      <c r="AU102" s="14">
        <v>1280</v>
      </c>
      <c r="AV102" s="15">
        <v>0.7111111111111111</v>
      </c>
      <c r="AW102" s="14">
        <v>10</v>
      </c>
      <c r="AX102" s="14">
        <v>74.6052888888889</v>
      </c>
      <c r="AY102" s="14">
        <v>0</v>
      </c>
      <c r="AZ102" s="14">
        <v>37.7173515625</v>
      </c>
      <c r="BA102" s="14">
        <v>20.218076084644135</v>
      </c>
      <c r="BB102" s="14">
        <v>132.54071653603302</v>
      </c>
      <c r="BC102" s="16">
        <v>0.5353717413642427</v>
      </c>
    </row>
    <row r="103" spans="1:56" ht="12.75">
      <c r="A103" s="8">
        <v>9</v>
      </c>
      <c r="B103" s="9" t="s">
        <v>600</v>
      </c>
      <c r="C103" s="25"/>
      <c r="D103" s="25"/>
      <c r="E103" s="25"/>
      <c r="F103" s="25"/>
      <c r="G103" s="25"/>
      <c r="H103" s="25"/>
      <c r="I103" s="25"/>
      <c r="J103" s="25"/>
      <c r="K103" s="11">
        <v>0.017773019643819027</v>
      </c>
      <c r="L103" s="12">
        <v>750.497303280387</v>
      </c>
      <c r="N103" s="25"/>
      <c r="O103" s="25"/>
      <c r="P103" s="25"/>
      <c r="Q103" s="25"/>
      <c r="R103" s="25"/>
      <c r="S103" s="25"/>
      <c r="T103" s="25"/>
      <c r="U103" s="25"/>
      <c r="V103" s="25"/>
      <c r="W103" s="12">
        <v>15.026651161514867</v>
      </c>
      <c r="Y103" s="25"/>
      <c r="Z103" s="25"/>
      <c r="AA103" s="25"/>
      <c r="AB103" s="25"/>
      <c r="AC103" s="25"/>
      <c r="AD103" s="25"/>
      <c r="AE103" s="25"/>
      <c r="AF103" s="25"/>
      <c r="AG103" s="25"/>
      <c r="AH103" s="12">
        <v>21.838346591164992</v>
      </c>
      <c r="AJ103" s="25"/>
      <c r="AK103" s="25"/>
      <c r="AL103" s="25"/>
      <c r="AM103" s="25"/>
      <c r="AN103" s="25"/>
      <c r="AO103" s="25"/>
      <c r="AP103" s="25"/>
      <c r="AQ103" s="25"/>
      <c r="AR103" s="25"/>
      <c r="AS103" s="12">
        <v>636.4099878415005</v>
      </c>
      <c r="AU103" s="25"/>
      <c r="AV103" s="25"/>
      <c r="AW103" s="25"/>
      <c r="AX103" s="25"/>
      <c r="AY103" s="25"/>
      <c r="AZ103" s="25"/>
      <c r="BA103" s="25"/>
      <c r="BB103" s="25"/>
      <c r="BC103" s="25"/>
      <c r="BD103" s="12">
        <v>77.22231768620651</v>
      </c>
    </row>
    <row r="104" spans="1:55" ht="12.75">
      <c r="A104" s="13">
        <v>9.1</v>
      </c>
      <c r="B104" s="19" t="s">
        <v>601</v>
      </c>
      <c r="C104" s="14">
        <v>636</v>
      </c>
      <c r="D104" s="15">
        <v>0.35333333333333333</v>
      </c>
      <c r="E104" s="14">
        <v>0</v>
      </c>
      <c r="F104" s="14">
        <v>42.95816444444444</v>
      </c>
      <c r="G104" s="14">
        <v>515</v>
      </c>
      <c r="H104" s="14">
        <v>0</v>
      </c>
      <c r="I104" s="14">
        <v>80.7287508546174</v>
      </c>
      <c r="J104" s="14">
        <v>638.6869152990619</v>
      </c>
      <c r="K104" s="22"/>
      <c r="N104" s="14">
        <v>96</v>
      </c>
      <c r="O104" s="15">
        <v>0.05333333333333334</v>
      </c>
      <c r="P104" s="14">
        <v>0</v>
      </c>
      <c r="Q104" s="14">
        <v>6.968853333333333</v>
      </c>
      <c r="R104" s="14">
        <v>0</v>
      </c>
      <c r="S104" s="14">
        <v>0</v>
      </c>
      <c r="T104" s="14">
        <v>0.20906559532701968</v>
      </c>
      <c r="U104" s="14">
        <v>7.177918928660352</v>
      </c>
      <c r="V104" s="16">
        <v>0.011238556414294675</v>
      </c>
      <c r="Y104" s="14">
        <v>108</v>
      </c>
      <c r="Z104" s="15">
        <v>0.06</v>
      </c>
      <c r="AA104" s="14">
        <v>0</v>
      </c>
      <c r="AB104" s="14">
        <v>7.83996</v>
      </c>
      <c r="AC104" s="14">
        <v>0</v>
      </c>
      <c r="AD104" s="14">
        <v>0</v>
      </c>
      <c r="AE104" s="14">
        <v>0.23519879474289715</v>
      </c>
      <c r="AF104" s="14">
        <v>8.075158794742897</v>
      </c>
      <c r="AG104" s="16">
        <v>0.012643375966081512</v>
      </c>
      <c r="AJ104" s="14">
        <v>216</v>
      </c>
      <c r="AK104" s="15">
        <v>0.12</v>
      </c>
      <c r="AL104" s="14">
        <v>0</v>
      </c>
      <c r="AM104" s="14">
        <v>14.690964444444443</v>
      </c>
      <c r="AN104" s="14">
        <v>504.7</v>
      </c>
      <c r="AO104" s="14">
        <v>0</v>
      </c>
      <c r="AP104" s="14">
        <v>77.90864776247807</v>
      </c>
      <c r="AQ104" s="14">
        <v>597.2996122069225</v>
      </c>
      <c r="AR104" s="16">
        <v>0.9351993878365897</v>
      </c>
      <c r="AU104" s="14">
        <v>216</v>
      </c>
      <c r="AV104" s="15">
        <v>0.12</v>
      </c>
      <c r="AW104" s="14">
        <v>0</v>
      </c>
      <c r="AX104" s="14">
        <v>13.458386666666668</v>
      </c>
      <c r="AY104" s="14">
        <v>10.3</v>
      </c>
      <c r="AZ104" s="14">
        <v>0</v>
      </c>
      <c r="BA104" s="14">
        <v>2.375838702069421</v>
      </c>
      <c r="BB104" s="14">
        <v>26.13422536873609</v>
      </c>
      <c r="BC104" s="16">
        <v>0.040918679783034026</v>
      </c>
    </row>
    <row r="105" spans="1:55" ht="12.75">
      <c r="A105" s="13">
        <v>9.2</v>
      </c>
      <c r="B105" s="19" t="s">
        <v>602</v>
      </c>
      <c r="K105" s="22"/>
      <c r="V105" s="22"/>
      <c r="AG105" s="22"/>
      <c r="AR105" s="22"/>
      <c r="BC105" s="22"/>
    </row>
    <row r="106" spans="1:55" ht="12.75">
      <c r="A106" s="26" t="s">
        <v>603</v>
      </c>
      <c r="B106" s="19" t="s">
        <v>604</v>
      </c>
      <c r="C106" s="14">
        <v>520</v>
      </c>
      <c r="D106" s="15">
        <v>0.28888888888888886</v>
      </c>
      <c r="E106" s="14">
        <v>10</v>
      </c>
      <c r="F106" s="14">
        <v>41.855466666666665</v>
      </c>
      <c r="G106" s="14">
        <v>0</v>
      </c>
      <c r="H106" s="14">
        <v>37.7173515625</v>
      </c>
      <c r="I106" s="14">
        <v>7.957281941489406</v>
      </c>
      <c r="J106" s="14">
        <v>87.53010017065608</v>
      </c>
      <c r="K106" s="22"/>
      <c r="N106" s="14">
        <v>50</v>
      </c>
      <c r="O106" s="15">
        <v>0.027777777777777776</v>
      </c>
      <c r="P106" s="14">
        <v>0</v>
      </c>
      <c r="Q106" s="14">
        <v>5.172744444444445</v>
      </c>
      <c r="R106" s="14">
        <v>0</v>
      </c>
      <c r="S106" s="14">
        <v>0</v>
      </c>
      <c r="T106" s="14">
        <v>0.5172744521524344</v>
      </c>
      <c r="U106" s="14">
        <v>5.690018896596879</v>
      </c>
      <c r="V106" s="16">
        <v>0.06500642505267487</v>
      </c>
      <c r="Y106" s="14">
        <v>90</v>
      </c>
      <c r="Z106" s="15">
        <v>0.05</v>
      </c>
      <c r="AA106" s="14">
        <v>0</v>
      </c>
      <c r="AB106" s="14">
        <v>9.097677777777779</v>
      </c>
      <c r="AC106" s="14">
        <v>0</v>
      </c>
      <c r="AD106" s="14">
        <v>0</v>
      </c>
      <c r="AE106" s="14">
        <v>0.9097677913343742</v>
      </c>
      <c r="AF106" s="14">
        <v>10.007445569112154</v>
      </c>
      <c r="AG106" s="16">
        <v>0.11433147625332075</v>
      </c>
      <c r="AJ106" s="14">
        <v>180</v>
      </c>
      <c r="AK106" s="15">
        <v>0.1</v>
      </c>
      <c r="AL106" s="14">
        <v>5</v>
      </c>
      <c r="AM106" s="14">
        <v>13.0666</v>
      </c>
      <c r="AN106" s="14">
        <v>0</v>
      </c>
      <c r="AO106" s="14">
        <v>18.85867578125</v>
      </c>
      <c r="AP106" s="14">
        <v>3.192527625697368</v>
      </c>
      <c r="AQ106" s="14">
        <v>35.11780340694737</v>
      </c>
      <c r="AR106" s="16">
        <v>0.40120830821030395</v>
      </c>
      <c r="AU106" s="14">
        <v>200</v>
      </c>
      <c r="AV106" s="15">
        <v>0.1111111111111111</v>
      </c>
      <c r="AW106" s="14">
        <v>5</v>
      </c>
      <c r="AX106" s="14">
        <v>14.518444444444443</v>
      </c>
      <c r="AY106" s="14">
        <v>0</v>
      </c>
      <c r="AZ106" s="14">
        <v>18.85867578125</v>
      </c>
      <c r="BA106" s="14">
        <v>3.3377120723052296</v>
      </c>
      <c r="BB106" s="14">
        <v>36.71483229799967</v>
      </c>
      <c r="BC106" s="16">
        <v>0.41945379048370024</v>
      </c>
    </row>
    <row r="107" spans="1:55" ht="12.75">
      <c r="A107" s="26" t="s">
        <v>605</v>
      </c>
      <c r="B107" s="19" t="s">
        <v>606</v>
      </c>
      <c r="C107" s="14">
        <v>290</v>
      </c>
      <c r="D107" s="15">
        <v>0.16111111111111112</v>
      </c>
      <c r="E107" s="14">
        <v>0</v>
      </c>
      <c r="F107" s="14">
        <v>22.072988888888887</v>
      </c>
      <c r="G107" s="14">
        <v>0</v>
      </c>
      <c r="H107" s="14">
        <v>0</v>
      </c>
      <c r="I107" s="14">
        <v>2.2072989217802053</v>
      </c>
      <c r="J107" s="14">
        <v>24.28028781066909</v>
      </c>
      <c r="K107" s="22"/>
      <c r="N107" s="14">
        <v>20</v>
      </c>
      <c r="O107" s="15">
        <v>0.011111111111111112</v>
      </c>
      <c r="P107" s="14">
        <v>0</v>
      </c>
      <c r="Q107" s="14">
        <v>1.9624666666666668</v>
      </c>
      <c r="R107" s="14">
        <v>0</v>
      </c>
      <c r="S107" s="14">
        <v>0</v>
      </c>
      <c r="T107" s="14">
        <v>0.19624666959096987</v>
      </c>
      <c r="U107" s="14">
        <v>2.1587133362576365</v>
      </c>
      <c r="V107" s="16">
        <v>0.08890806209097193</v>
      </c>
      <c r="Y107" s="14">
        <v>40</v>
      </c>
      <c r="Z107" s="15">
        <v>0.022222222222222223</v>
      </c>
      <c r="AA107" s="14">
        <v>0</v>
      </c>
      <c r="AB107" s="14">
        <v>3.414311111111111</v>
      </c>
      <c r="AC107" s="14">
        <v>0</v>
      </c>
      <c r="AD107" s="14">
        <v>0</v>
      </c>
      <c r="AE107" s="14">
        <v>0.34143111619883115</v>
      </c>
      <c r="AF107" s="14">
        <v>3.755742227309942</v>
      </c>
      <c r="AG107" s="16">
        <v>0.15468277215641643</v>
      </c>
      <c r="AJ107" s="14">
        <v>50</v>
      </c>
      <c r="AK107" s="15">
        <v>0.027777777777777776</v>
      </c>
      <c r="AL107" s="14">
        <v>0</v>
      </c>
      <c r="AM107" s="14">
        <v>3.6296111111111107</v>
      </c>
      <c r="AN107" s="14">
        <v>0</v>
      </c>
      <c r="AO107" s="14">
        <v>0</v>
      </c>
      <c r="AP107" s="14">
        <v>0.3629611165196531</v>
      </c>
      <c r="AQ107" s="14">
        <v>3.992572227630764</v>
      </c>
      <c r="AR107" s="16">
        <v>0.16443677516361124</v>
      </c>
      <c r="AU107" s="14">
        <v>180</v>
      </c>
      <c r="AV107" s="15">
        <v>0.1</v>
      </c>
      <c r="AW107" s="14">
        <v>0</v>
      </c>
      <c r="AX107" s="14">
        <v>13.0666</v>
      </c>
      <c r="AY107" s="14">
        <v>0</v>
      </c>
      <c r="AZ107" s="14">
        <v>0</v>
      </c>
      <c r="BA107" s="14">
        <v>1.3066600194707512</v>
      </c>
      <c r="BB107" s="14">
        <v>14.37326001947075</v>
      </c>
      <c r="BC107" s="16">
        <v>0.5919723905890005</v>
      </c>
    </row>
    <row r="108" spans="1:56" ht="12.75">
      <c r="A108" s="27"/>
      <c r="B108" s="28" t="s">
        <v>443</v>
      </c>
      <c r="C108" s="20">
        <v>231944.49996948242</v>
      </c>
      <c r="D108" s="20">
        <v>128.85805553860138</v>
      </c>
      <c r="E108" s="20">
        <v>549</v>
      </c>
      <c r="F108" s="20">
        <v>16044.976910830925</v>
      </c>
      <c r="G108" s="20">
        <v>16803.963489999995</v>
      </c>
      <c r="H108" s="20">
        <v>1681.293841796875</v>
      </c>
      <c r="I108" s="20">
        <v>7696.540853600122</v>
      </c>
      <c r="J108" s="20">
        <v>42226.775096227924</v>
      </c>
      <c r="K108" s="29">
        <v>1</v>
      </c>
      <c r="L108" s="12">
        <v>42226.775096227924</v>
      </c>
      <c r="N108" s="20">
        <v>34375.100006103516</v>
      </c>
      <c r="O108" s="20">
        <v>19.09727778116863</v>
      </c>
      <c r="P108" s="20">
        <v>95</v>
      </c>
      <c r="Q108" s="20">
        <v>2581.557151265564</v>
      </c>
      <c r="R108" s="20">
        <v>216.19899999999998</v>
      </c>
      <c r="S108" s="20">
        <v>223.7109685058594</v>
      </c>
      <c r="T108" s="20">
        <v>457.57495708176396</v>
      </c>
      <c r="U108" s="20">
        <v>3479.042076853188</v>
      </c>
      <c r="V108" s="16">
        <v>0.08238948081933843</v>
      </c>
      <c r="W108" s="12">
        <v>3479.042076853188</v>
      </c>
      <c r="Y108" s="20">
        <v>75528.8999633789</v>
      </c>
      <c r="Z108" s="20">
        <v>41.960499979654976</v>
      </c>
      <c r="AA108" s="20">
        <v>136</v>
      </c>
      <c r="AB108" s="20">
        <v>5515.927220120916</v>
      </c>
      <c r="AC108" s="20">
        <v>1827.249</v>
      </c>
      <c r="AD108" s="20">
        <v>354.224421875</v>
      </c>
      <c r="AE108" s="20">
        <v>1402.6897561623814</v>
      </c>
      <c r="AF108" s="20">
        <v>9100.0903981583</v>
      </c>
      <c r="AG108" s="16">
        <v>0.21550521860645716</v>
      </c>
      <c r="AH108" s="12">
        <v>9100.0903981583</v>
      </c>
      <c r="AJ108" s="20">
        <v>88076.5</v>
      </c>
      <c r="AK108" s="20">
        <v>48.931388888888904</v>
      </c>
      <c r="AL108" s="20">
        <v>195</v>
      </c>
      <c r="AM108" s="20">
        <v>5660.918846666669</v>
      </c>
      <c r="AN108" s="20">
        <v>14510.134489999997</v>
      </c>
      <c r="AO108" s="20">
        <v>625.5955270996093</v>
      </c>
      <c r="AP108" s="20">
        <v>5234.36280434702</v>
      </c>
      <c r="AQ108" s="20">
        <v>26031.011668113308</v>
      </c>
      <c r="AR108" s="16">
        <v>0.6164574871936794</v>
      </c>
      <c r="AS108" s="12">
        <v>26031.011668113293</v>
      </c>
      <c r="AU108" s="20">
        <v>34174</v>
      </c>
      <c r="AV108" s="20">
        <v>18.985555555555557</v>
      </c>
      <c r="AW108" s="20">
        <v>123</v>
      </c>
      <c r="AX108" s="20">
        <v>2286.573692777778</v>
      </c>
      <c r="AY108" s="20">
        <v>250.38100000000003</v>
      </c>
      <c r="AZ108" s="20">
        <v>477.76292431640616</v>
      </c>
      <c r="BA108" s="20">
        <v>601.9133360089592</v>
      </c>
      <c r="BB108" s="20">
        <v>3616.6309531031434</v>
      </c>
      <c r="BC108" s="16">
        <v>0.08564781338052532</v>
      </c>
      <c r="BD108" s="12">
        <v>3616.6309531031434</v>
      </c>
    </row>
  </sheetData>
  <mergeCells count="25">
    <mergeCell ref="C1:L1"/>
    <mergeCell ref="N2:O2"/>
    <mergeCell ref="P2:P3"/>
    <mergeCell ref="Q2:U2"/>
    <mergeCell ref="N1:W1"/>
    <mergeCell ref="V2:V3"/>
    <mergeCell ref="C2:D2"/>
    <mergeCell ref="E2:E3"/>
    <mergeCell ref="F2:J2"/>
    <mergeCell ref="K2:K3"/>
    <mergeCell ref="AB2:AF2"/>
    <mergeCell ref="AG2:AG3"/>
    <mergeCell ref="Y1:AH1"/>
    <mergeCell ref="AJ1:AS1"/>
    <mergeCell ref="AJ2:AK2"/>
    <mergeCell ref="AL2:AL3"/>
    <mergeCell ref="AM2:AQ2"/>
    <mergeCell ref="AR2:AR3"/>
    <mergeCell ref="AA2:AA3"/>
    <mergeCell ref="Y2:Z2"/>
    <mergeCell ref="AU1:BD1"/>
    <mergeCell ref="AU2:AV2"/>
    <mergeCell ref="AW2:AW3"/>
    <mergeCell ref="AX2:BB2"/>
    <mergeCell ref="BC2:BC3"/>
  </mergeCells>
  <printOptions/>
  <pageMargins left="0.45" right="0.17" top="0.54" bottom="0.3" header="0.35"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P52"/>
  <sheetViews>
    <sheetView workbookViewId="0" topLeftCell="A1">
      <selection activeCell="A28" sqref="A28"/>
    </sheetView>
  </sheetViews>
  <sheetFormatPr defaultColWidth="9.140625" defaultRowHeight="12.75"/>
  <cols>
    <col min="1" max="1" width="37.140625" style="0" customWidth="1"/>
    <col min="2" max="2" width="11.7109375" style="0" customWidth="1"/>
    <col min="3" max="3" width="6.57421875" style="0" customWidth="1"/>
    <col min="4" max="4" width="12.421875" style="0" customWidth="1"/>
    <col min="5" max="5" width="6.57421875" style="0" customWidth="1"/>
    <col min="6" max="6" width="12.421875" style="0" customWidth="1"/>
    <col min="7" max="7" width="6.57421875" style="0" customWidth="1"/>
    <col min="8" max="8" width="12.421875" style="0" customWidth="1"/>
    <col min="9" max="9" width="6.57421875" style="0" customWidth="1"/>
    <col min="10" max="10" width="12.421875" style="0" customWidth="1"/>
    <col min="11" max="11" width="6.57421875" style="0" customWidth="1"/>
    <col min="12" max="12" width="12.421875" style="0" customWidth="1"/>
    <col min="13" max="13" width="6.57421875" style="0" customWidth="1"/>
    <col min="14" max="14" width="12.421875" style="0" customWidth="1"/>
    <col min="15" max="15" width="5.28125" style="0" customWidth="1"/>
    <col min="16" max="16" width="7.140625" style="0" customWidth="1"/>
    <col min="17" max="17" width="12.28125" style="0" customWidth="1"/>
  </cols>
  <sheetData>
    <row r="1" spans="2:4" ht="12.75">
      <c r="B1" t="s">
        <v>665</v>
      </c>
      <c r="C1">
        <v>1824</v>
      </c>
      <c r="D1" t="s">
        <v>659</v>
      </c>
    </row>
    <row r="2" spans="2:4" ht="12.75">
      <c r="B2" t="s">
        <v>667</v>
      </c>
      <c r="C2" s="120">
        <v>0.035</v>
      </c>
      <c r="D2" t="s">
        <v>668</v>
      </c>
    </row>
    <row r="3" spans="3:12" ht="12.75">
      <c r="C3" s="77">
        <v>2</v>
      </c>
      <c r="D3" s="83"/>
      <c r="E3" s="77">
        <v>3</v>
      </c>
      <c r="F3" s="83"/>
      <c r="G3" s="77">
        <v>4</v>
      </c>
      <c r="H3" s="83"/>
      <c r="I3" s="77">
        <v>5</v>
      </c>
      <c r="J3" s="83"/>
      <c r="K3" s="77">
        <v>6</v>
      </c>
      <c r="L3" s="83"/>
    </row>
    <row r="4" spans="3:16" ht="12.75">
      <c r="C4" s="77" t="s">
        <v>647</v>
      </c>
      <c r="D4" s="83"/>
      <c r="E4" s="77" t="s">
        <v>651</v>
      </c>
      <c r="F4" s="83"/>
      <c r="G4" s="77" t="s">
        <v>652</v>
      </c>
      <c r="H4" s="83"/>
      <c r="I4" s="77" t="s">
        <v>653</v>
      </c>
      <c r="J4" s="83"/>
      <c r="K4" s="77" t="s">
        <v>654</v>
      </c>
      <c r="L4" s="83"/>
      <c r="O4" s="77"/>
      <c r="P4" s="35"/>
    </row>
    <row r="5" spans="1:16" ht="12.75">
      <c r="A5" s="65" t="s">
        <v>648</v>
      </c>
      <c r="C5" s="85" t="s">
        <v>649</v>
      </c>
      <c r="D5" s="86"/>
      <c r="E5" s="87" t="s">
        <v>650</v>
      </c>
      <c r="F5" s="88"/>
      <c r="G5" s="89" t="s">
        <v>655</v>
      </c>
      <c r="H5" s="90"/>
      <c r="I5" s="89"/>
      <c r="J5" s="90"/>
      <c r="K5" s="89"/>
      <c r="L5" s="90"/>
      <c r="O5" s="77"/>
      <c r="P5" s="35"/>
    </row>
    <row r="6" spans="3:16" ht="12.75">
      <c r="C6" s="77"/>
      <c r="D6" s="83"/>
      <c r="E6" s="77"/>
      <c r="F6" s="83"/>
      <c r="G6" s="77"/>
      <c r="H6" s="83"/>
      <c r="I6" s="77"/>
      <c r="J6" s="83"/>
      <c r="K6" s="77"/>
      <c r="L6" s="83"/>
      <c r="M6" s="84" t="s">
        <v>669</v>
      </c>
      <c r="N6" s="83"/>
      <c r="O6" s="77"/>
      <c r="P6" s="35"/>
    </row>
    <row r="7" spans="1:16" ht="12.75">
      <c r="A7" s="69" t="s">
        <v>638</v>
      </c>
      <c r="B7" s="76" t="s">
        <v>637</v>
      </c>
      <c r="C7" s="74" t="s">
        <v>639</v>
      </c>
      <c r="D7" s="68" t="s">
        <v>640</v>
      </c>
      <c r="E7" s="74" t="s">
        <v>639</v>
      </c>
      <c r="F7" s="68" t="s">
        <v>640</v>
      </c>
      <c r="G7" s="74" t="s">
        <v>639</v>
      </c>
      <c r="H7" s="68" t="s">
        <v>640</v>
      </c>
      <c r="I7" s="74" t="s">
        <v>639</v>
      </c>
      <c r="J7" s="68" t="s">
        <v>640</v>
      </c>
      <c r="K7" s="74" t="s">
        <v>639</v>
      </c>
      <c r="L7" s="68" t="s">
        <v>640</v>
      </c>
      <c r="M7" s="74" t="s">
        <v>639</v>
      </c>
      <c r="N7" s="68" t="s">
        <v>640</v>
      </c>
      <c r="O7" s="77"/>
      <c r="P7" s="35" t="s">
        <v>666</v>
      </c>
    </row>
    <row r="8" spans="1:16" ht="12.75">
      <c r="A8" t="s">
        <v>449</v>
      </c>
      <c r="B8" s="77"/>
      <c r="C8" s="75"/>
      <c r="D8" s="67"/>
      <c r="E8" s="75"/>
      <c r="F8" s="67"/>
      <c r="G8" s="75"/>
      <c r="H8" s="67"/>
      <c r="I8" s="75"/>
      <c r="J8" s="67"/>
      <c r="K8" s="75"/>
      <c r="L8" s="67"/>
      <c r="M8" s="75"/>
      <c r="N8" s="67"/>
      <c r="O8" s="77"/>
      <c r="P8" s="35"/>
    </row>
    <row r="9" spans="1:16" ht="12.75">
      <c r="A9" t="s">
        <v>630</v>
      </c>
      <c r="B9" s="78" t="s">
        <v>642</v>
      </c>
      <c r="C9" s="75">
        <f>$C$1*0.5</f>
        <v>912</v>
      </c>
      <c r="D9" s="67">
        <f>C9*$P9*(1+$C$2)^C$3</f>
        <v>58617.43199999999</v>
      </c>
      <c r="E9" s="75">
        <f>$C$1*0.5</f>
        <v>912</v>
      </c>
      <c r="F9" s="67">
        <f>E9*$P9*(1+$C$2)^E$3</f>
        <v>60669.042119999984</v>
      </c>
      <c r="G9" s="75">
        <f>$C$1*0.5</f>
        <v>912</v>
      </c>
      <c r="H9" s="67">
        <f>G9*$P9*(1+$C$2)^G$3</f>
        <v>62792.45859419998</v>
      </c>
      <c r="I9" s="75"/>
      <c r="J9" s="67">
        <f>I9*$P9*(1+$C$2)^I$3</f>
        <v>0</v>
      </c>
      <c r="K9" s="75"/>
      <c r="L9" s="67">
        <f>K9*$P9*(1+$C$2)^K$3</f>
        <v>0</v>
      </c>
      <c r="M9" s="75">
        <f>C9+E9+G9+I9+K9</f>
        <v>2736</v>
      </c>
      <c r="N9" s="67">
        <f>D9+F9+H9+J9+L9</f>
        <v>182078.93271419994</v>
      </c>
      <c r="O9" s="77"/>
      <c r="P9" s="82">
        <v>60</v>
      </c>
    </row>
    <row r="10" spans="1:16" ht="12.75">
      <c r="A10" t="s">
        <v>629</v>
      </c>
      <c r="B10" s="78" t="s">
        <v>642</v>
      </c>
      <c r="C10" s="75">
        <f>$C$1*1.5</f>
        <v>2736</v>
      </c>
      <c r="D10" s="67">
        <f>C10*$P10*(1+$C$2)^C$3</f>
        <v>175852.29599999997</v>
      </c>
      <c r="E10" s="75">
        <f>$C$1*1.5</f>
        <v>2736</v>
      </c>
      <c r="F10" s="67">
        <f>E10*$P10*(1+$C$2)^E$3</f>
        <v>182007.12635999997</v>
      </c>
      <c r="G10" s="75">
        <f>$C$1*0.5</f>
        <v>912</v>
      </c>
      <c r="H10" s="67">
        <f>G10*$P10*(1+$C$2)^G$3</f>
        <v>62792.45859419998</v>
      </c>
      <c r="I10" s="75">
        <f>$C$1*0.5</f>
        <v>912</v>
      </c>
      <c r="J10" s="67">
        <f>I10*$P10*(1+$C$2)^I$3</f>
        <v>64990.19464499697</v>
      </c>
      <c r="K10" s="75">
        <f>$C$1*0.5*0.25</f>
        <v>228</v>
      </c>
      <c r="L10" s="67">
        <f>K10*$P10*(1+$C$2)^K$3</f>
        <v>16816.21286439297</v>
      </c>
      <c r="M10" s="75">
        <f aca="true" t="shared" si="0" ref="M10:N13">C10+E10+G10+I10+K10</f>
        <v>7524</v>
      </c>
      <c r="N10" s="67">
        <f t="shared" si="0"/>
        <v>502458.28846358985</v>
      </c>
      <c r="O10" s="77"/>
      <c r="P10" s="82">
        <v>60</v>
      </c>
    </row>
    <row r="11" spans="1:16" ht="12.75">
      <c r="A11" t="s">
        <v>631</v>
      </c>
      <c r="B11" s="78" t="s">
        <v>642</v>
      </c>
      <c r="C11" s="75">
        <f>$C$1*0.2</f>
        <v>364.8</v>
      </c>
      <c r="D11" s="67">
        <f>C11*$P11*(1+$C$2)^C$3</f>
        <v>23446.972799999996</v>
      </c>
      <c r="E11" s="75">
        <f>$C$1*0.2</f>
        <v>364.8</v>
      </c>
      <c r="F11" s="67">
        <f>E11*$P11*(1+$C$2)^E$3</f>
        <v>24267.616847999994</v>
      </c>
      <c r="G11" s="75">
        <f>$C$1*0.5</f>
        <v>912</v>
      </c>
      <c r="H11" s="67">
        <f>G11*$P11*(1+$C$2)^G$3</f>
        <v>62792.45859419998</v>
      </c>
      <c r="I11" s="75">
        <f>$C$1*0.5</f>
        <v>912</v>
      </c>
      <c r="J11" s="67">
        <f>I11*$P11*(1+$C$2)^I$3</f>
        <v>64990.19464499697</v>
      </c>
      <c r="K11" s="75">
        <f>$C$1*0.5*0.25</f>
        <v>228</v>
      </c>
      <c r="L11" s="67">
        <f>K11*$P11*(1+$C$2)^K$3</f>
        <v>16816.21286439297</v>
      </c>
      <c r="M11" s="75">
        <f t="shared" si="0"/>
        <v>2781.6</v>
      </c>
      <c r="N11" s="67">
        <f t="shared" si="0"/>
        <v>192313.4557515899</v>
      </c>
      <c r="O11" s="77"/>
      <c r="P11" s="82">
        <v>60</v>
      </c>
    </row>
    <row r="12" spans="1:16" ht="12.75">
      <c r="A12" t="s">
        <v>632</v>
      </c>
      <c r="B12" s="78" t="s">
        <v>642</v>
      </c>
      <c r="C12" s="75">
        <f>$C$1*0.2</f>
        <v>364.8</v>
      </c>
      <c r="D12" s="67">
        <f>C12*$P12*(1+$C$2)^C$3</f>
        <v>23446.972799999996</v>
      </c>
      <c r="E12" s="75">
        <f>$C$1*0.2</f>
        <v>364.8</v>
      </c>
      <c r="F12" s="67">
        <f>E12*$P12*(1+$C$2)^E$3</f>
        <v>24267.616847999994</v>
      </c>
      <c r="G12" s="75">
        <f>$C$1*0.5</f>
        <v>912</v>
      </c>
      <c r="H12" s="67">
        <f>G12*$P12*(1+$C$2)^G$3</f>
        <v>62792.45859419998</v>
      </c>
      <c r="I12" s="75">
        <f>$C$1*0.5</f>
        <v>912</v>
      </c>
      <c r="J12" s="67">
        <f>I12*$P12*(1+$C$2)^I$3</f>
        <v>64990.19464499697</v>
      </c>
      <c r="K12" s="75">
        <f>$C$1*0.5*0.25</f>
        <v>228</v>
      </c>
      <c r="L12" s="67">
        <f>K12*$P12*(1+$C$2)^K$3</f>
        <v>16816.21286439297</v>
      </c>
      <c r="M12" s="75">
        <f t="shared" si="0"/>
        <v>2781.6</v>
      </c>
      <c r="N12" s="67">
        <f t="shared" si="0"/>
        <v>192313.4557515899</v>
      </c>
      <c r="O12" s="77"/>
      <c r="P12" s="82">
        <v>60</v>
      </c>
    </row>
    <row r="13" spans="1:16" ht="12.75">
      <c r="A13" t="s">
        <v>660</v>
      </c>
      <c r="B13" s="78">
        <v>3</v>
      </c>
      <c r="C13" s="75">
        <f>$C$1*0.2</f>
        <v>364.8</v>
      </c>
      <c r="D13" s="67">
        <f>C13*$P13*(1+$C$2)^C$3</f>
        <v>22274.62416</v>
      </c>
      <c r="E13" s="75">
        <f>$C$1*0.2</f>
        <v>364.8</v>
      </c>
      <c r="F13" s="67">
        <f>E13*$P13*(1+$C$2)^E$3</f>
        <v>23054.236005599996</v>
      </c>
      <c r="G13" s="75">
        <f>$C$1*0.2</f>
        <v>364.8</v>
      </c>
      <c r="H13" s="67">
        <f>G13*$P13*(1+$C$2)^G$3</f>
        <v>23861.134265795998</v>
      </c>
      <c r="I13" s="75">
        <f>$C$1*0.2</f>
        <v>364.8</v>
      </c>
      <c r="J13" s="67">
        <f>I13*$P13*(1+$C$2)^I$3</f>
        <v>24696.27396509885</v>
      </c>
      <c r="K13" s="75">
        <f>$C$1*0.2*0.25</f>
        <v>91.2</v>
      </c>
      <c r="L13" s="67">
        <f>K13*$P13*(1+$C$2)^K$3</f>
        <v>6390.160888469329</v>
      </c>
      <c r="M13" s="75">
        <f t="shared" si="0"/>
        <v>1550.4</v>
      </c>
      <c r="N13" s="67">
        <f t="shared" si="0"/>
        <v>100276.42928496416</v>
      </c>
      <c r="O13" s="77"/>
      <c r="P13" s="82">
        <v>57</v>
      </c>
    </row>
    <row r="14" spans="1:16" ht="12.75">
      <c r="A14" t="s">
        <v>633</v>
      </c>
      <c r="B14" s="78"/>
      <c r="C14" s="75"/>
      <c r="D14" s="67"/>
      <c r="E14" s="75"/>
      <c r="F14" s="67"/>
      <c r="G14" s="75"/>
      <c r="H14" s="67"/>
      <c r="I14" s="75"/>
      <c r="J14" s="67"/>
      <c r="K14" s="75"/>
      <c r="L14" s="67"/>
      <c r="M14" s="75"/>
      <c r="N14" s="67"/>
      <c r="O14" s="77"/>
      <c r="P14" s="82"/>
    </row>
    <row r="15" spans="1:16" ht="12.75">
      <c r="A15" t="s">
        <v>448</v>
      </c>
      <c r="B15" s="78">
        <v>4</v>
      </c>
      <c r="C15" s="75">
        <f>$C$1*0.25</f>
        <v>456</v>
      </c>
      <c r="D15" s="67">
        <f>C15*$P15*(1+$C$2)^C$3</f>
        <v>31751.108999999997</v>
      </c>
      <c r="E15" s="75">
        <f>$C$1*0.25</f>
        <v>456</v>
      </c>
      <c r="F15" s="67">
        <f>E15*$P15*(1+$C$2)^E$3</f>
        <v>32862.39781499999</v>
      </c>
      <c r="G15" s="75">
        <f>$C$1*0.25</f>
        <v>456</v>
      </c>
      <c r="H15" s="67">
        <f>G15*$P15*(1+$C$2)^G$3</f>
        <v>34012.58173852499</v>
      </c>
      <c r="I15" s="75">
        <f>$C$1*0.25</f>
        <v>456</v>
      </c>
      <c r="J15" s="67">
        <f>I15*$P15*(1+$C$2)^I$3</f>
        <v>35203.02209937336</v>
      </c>
      <c r="K15" s="75">
        <f>$C$1*0.25*0.25</f>
        <v>114</v>
      </c>
      <c r="L15" s="67">
        <f>K15*$P15*(1+$C$2)^K$3</f>
        <v>9108.781968212857</v>
      </c>
      <c r="M15" s="75">
        <f>C15+E15+G15+I15+K15</f>
        <v>1938</v>
      </c>
      <c r="N15" s="67">
        <f>D15+F15+H15+J15+L15</f>
        <v>142937.8926211112</v>
      </c>
      <c r="O15" s="77"/>
      <c r="P15" s="82">
        <v>65</v>
      </c>
    </row>
    <row r="16" spans="1:16" ht="12.75">
      <c r="A16" s="68" t="s">
        <v>644</v>
      </c>
      <c r="B16" s="79">
        <v>5</v>
      </c>
      <c r="C16" s="74"/>
      <c r="D16" s="70">
        <f>C16*$P16*(1+$C$2)^C$3</f>
        <v>0</v>
      </c>
      <c r="E16" s="74"/>
      <c r="F16" s="70">
        <f>E16*$P16*(1+$C$2)^E$3</f>
        <v>0</v>
      </c>
      <c r="G16" s="74">
        <f>$C$1*1.5</f>
        <v>2736</v>
      </c>
      <c r="H16" s="70">
        <f>G16*$P16*(1+$C$2)^G$3</f>
        <v>109886.80253984997</v>
      </c>
      <c r="I16" s="74">
        <f>$C$1*1.5</f>
        <v>2736</v>
      </c>
      <c r="J16" s="70">
        <f>I16*$P16*(1+$C$2)^I$3</f>
        <v>113732.8406287447</v>
      </c>
      <c r="K16" s="74">
        <f>$C$1*2*0.25</f>
        <v>912</v>
      </c>
      <c r="L16" s="70">
        <f>K16*$P16*(1+$C$2)^K$3</f>
        <v>39237.83001691692</v>
      </c>
      <c r="M16" s="74">
        <f>C16+E16+G16+I16+K16</f>
        <v>6384</v>
      </c>
      <c r="N16" s="70">
        <f>D16+F16+H16+J16+L16</f>
        <v>262857.4731855116</v>
      </c>
      <c r="O16" s="77"/>
      <c r="P16" s="82">
        <v>35</v>
      </c>
    </row>
    <row r="17" spans="1:16" ht="12.75">
      <c r="A17" s="65" t="s">
        <v>656</v>
      </c>
      <c r="B17" s="78"/>
      <c r="C17" s="75"/>
      <c r="D17" s="67">
        <f>SUM(D9:D16)</f>
        <v>335389.40676</v>
      </c>
      <c r="E17" s="75"/>
      <c r="F17" s="67">
        <f>SUM(F9:F16)</f>
        <v>347128.0359965999</v>
      </c>
      <c r="G17" s="75"/>
      <c r="H17" s="67">
        <f>SUM(H9:H16)</f>
        <v>418930.3529209709</v>
      </c>
      <c r="I17" s="75"/>
      <c r="J17" s="67">
        <f>SUM(J9:J16)</f>
        <v>368602.72062820784</v>
      </c>
      <c r="K17" s="75"/>
      <c r="L17" s="67">
        <f>SUM(L9:L16)</f>
        <v>105185.41146677801</v>
      </c>
      <c r="M17" s="75"/>
      <c r="N17" s="67">
        <f>SUM(N9:N16)</f>
        <v>1575235.9277725567</v>
      </c>
      <c r="O17" s="77"/>
      <c r="P17" s="35"/>
    </row>
    <row r="18" spans="1:16" ht="12.75">
      <c r="A18" t="s">
        <v>645</v>
      </c>
      <c r="B18" s="78">
        <v>6</v>
      </c>
      <c r="C18" s="75"/>
      <c r="D18" s="67">
        <f>D17*0.3</f>
        <v>100616.822028</v>
      </c>
      <c r="E18" s="75"/>
      <c r="F18" s="67">
        <f>F17*0.3</f>
        <v>104138.41079897997</v>
      </c>
      <c r="G18" s="75"/>
      <c r="H18" s="67">
        <f>H17*0.3</f>
        <v>125679.10587629126</v>
      </c>
      <c r="I18" s="75"/>
      <c r="J18" s="67">
        <f>J17*0.3</f>
        <v>110580.81618846236</v>
      </c>
      <c r="K18" s="75"/>
      <c r="L18" s="67">
        <f>L17*0.3</f>
        <v>31555.6234400334</v>
      </c>
      <c r="M18" s="75"/>
      <c r="N18" s="67">
        <f>N17*0.3</f>
        <v>472570.77833176695</v>
      </c>
      <c r="O18" s="77"/>
      <c r="P18" s="35"/>
    </row>
    <row r="19" spans="1:16" ht="12.75">
      <c r="A19" s="71" t="s">
        <v>657</v>
      </c>
      <c r="B19" s="80"/>
      <c r="C19" s="81"/>
      <c r="D19" s="73">
        <f>D17+D18</f>
        <v>436006.22878799995</v>
      </c>
      <c r="E19" s="81"/>
      <c r="F19" s="73">
        <f>F17+F18</f>
        <v>451266.44679557986</v>
      </c>
      <c r="G19" s="81"/>
      <c r="H19" s="73">
        <f>H17+H18</f>
        <v>544609.4587972622</v>
      </c>
      <c r="I19" s="81"/>
      <c r="J19" s="73">
        <f>J17+J18</f>
        <v>479183.5368166702</v>
      </c>
      <c r="K19" s="81"/>
      <c r="L19" s="73">
        <f>L17+L18</f>
        <v>136741.0349068114</v>
      </c>
      <c r="M19" s="81"/>
      <c r="N19" s="73">
        <f>N17+N18</f>
        <v>2047806.7061043237</v>
      </c>
      <c r="O19" s="77"/>
      <c r="P19" s="35"/>
    </row>
    <row r="20" spans="1:16" ht="12.75">
      <c r="A20" t="s">
        <v>634</v>
      </c>
      <c r="B20" s="78"/>
      <c r="C20" s="75"/>
      <c r="D20" s="67"/>
      <c r="E20" s="75"/>
      <c r="F20" s="67"/>
      <c r="G20" s="75"/>
      <c r="H20" s="67"/>
      <c r="I20" s="75"/>
      <c r="J20" s="67"/>
      <c r="K20" s="75"/>
      <c r="L20" s="67"/>
      <c r="M20" s="75"/>
      <c r="N20" s="67"/>
      <c r="O20" s="77"/>
      <c r="P20" s="35"/>
    </row>
    <row r="21" spans="1:16" ht="12.75">
      <c r="A21" t="s">
        <v>635</v>
      </c>
      <c r="B21" s="78"/>
      <c r="C21" s="75"/>
      <c r="D21" s="67"/>
      <c r="E21" s="75"/>
      <c r="F21" s="67">
        <f>B39</f>
        <v>600000</v>
      </c>
      <c r="G21" s="75"/>
      <c r="H21" s="67">
        <f>($B$52-$B$39)/2</f>
        <v>431250</v>
      </c>
      <c r="I21" s="75"/>
      <c r="J21" s="67">
        <f>($B$52-$B$39)/2</f>
        <v>431250</v>
      </c>
      <c r="K21" s="75"/>
      <c r="L21" s="67"/>
      <c r="M21" s="75"/>
      <c r="N21" s="67">
        <f>D21+F21+H21+J21+L21</f>
        <v>1462500</v>
      </c>
      <c r="O21" s="77"/>
      <c r="P21" s="35"/>
    </row>
    <row r="22" spans="1:16" ht="12.75">
      <c r="A22" t="s">
        <v>636</v>
      </c>
      <c r="B22" s="78"/>
      <c r="C22" s="75"/>
      <c r="D22" s="67">
        <v>10000</v>
      </c>
      <c r="E22" s="75"/>
      <c r="F22" s="67">
        <f>$D22*(1+$C$2)^C$3</f>
        <v>10712.249999999998</v>
      </c>
      <c r="G22" s="75"/>
      <c r="H22" s="67">
        <f>$D22*(1+$C$2)^E$3</f>
        <v>11087.178749999997</v>
      </c>
      <c r="I22" s="75"/>
      <c r="J22" s="67">
        <f>$D22*(1+$C$2)^G$3</f>
        <v>11475.230006249996</v>
      </c>
      <c r="K22" s="75"/>
      <c r="L22" s="67">
        <f>($D22*(1+$C$2)^I$3)*0.25</f>
        <v>2969.215764117186</v>
      </c>
      <c r="M22" s="75"/>
      <c r="N22" s="67">
        <f>D22+F22+H22+J22+L22</f>
        <v>46243.87452036718</v>
      </c>
      <c r="O22" s="77"/>
      <c r="P22" s="35"/>
    </row>
    <row r="23" spans="1:16" ht="12.75">
      <c r="A23" t="s">
        <v>454</v>
      </c>
      <c r="B23" s="78"/>
      <c r="C23" s="75"/>
      <c r="D23" s="67">
        <v>20000</v>
      </c>
      <c r="E23" s="75"/>
      <c r="F23" s="67">
        <f>$D23*(1+$C$2)^C$3</f>
        <v>21424.499999999996</v>
      </c>
      <c r="G23" s="75"/>
      <c r="H23" s="67">
        <f>$D23*(1+$C$2)^E$3</f>
        <v>22174.357499999995</v>
      </c>
      <c r="I23" s="75"/>
      <c r="J23" s="67">
        <f>$D23*(1+$C$2)^G$3</f>
        <v>22950.460012499992</v>
      </c>
      <c r="K23" s="75"/>
      <c r="L23" s="67">
        <f>($D23*(1+$C$2)^I$3)*0.5</f>
        <v>11876.863056468745</v>
      </c>
      <c r="M23" s="75"/>
      <c r="N23" s="67">
        <f>D23+F23+H23+J23+L23</f>
        <v>98426.18056896873</v>
      </c>
      <c r="O23" s="77"/>
      <c r="P23" s="35"/>
    </row>
    <row r="24" spans="1:16" ht="12.75">
      <c r="A24" s="71" t="s">
        <v>646</v>
      </c>
      <c r="B24" s="80"/>
      <c r="C24" s="81"/>
      <c r="D24" s="73">
        <f>SUM(D21:D23)</f>
        <v>30000</v>
      </c>
      <c r="E24" s="81"/>
      <c r="F24" s="73">
        <f>SUM(F21:F23)</f>
        <v>632136.75</v>
      </c>
      <c r="G24" s="81"/>
      <c r="H24" s="73">
        <f>SUM(H21:H23)</f>
        <v>464511.53625</v>
      </c>
      <c r="I24" s="81"/>
      <c r="J24" s="73">
        <f>SUM(J21:J23)</f>
        <v>465675.69001874997</v>
      </c>
      <c r="K24" s="81"/>
      <c r="L24" s="73">
        <f>SUM(L21:L23)</f>
        <v>14846.078820585932</v>
      </c>
      <c r="M24" s="81"/>
      <c r="N24" s="73">
        <f>SUM(N21:N23)</f>
        <v>1607170.055089336</v>
      </c>
      <c r="O24" s="77"/>
      <c r="P24" s="35"/>
    </row>
    <row r="25" spans="1:16" ht="12.75">
      <c r="A25" s="65" t="s">
        <v>643</v>
      </c>
      <c r="B25" s="78"/>
      <c r="C25" s="75"/>
      <c r="D25" s="67">
        <f>D19+D24</f>
        <v>466006.22878799995</v>
      </c>
      <c r="E25" s="75"/>
      <c r="F25" s="67">
        <f>F19+F24</f>
        <v>1083403.19679558</v>
      </c>
      <c r="G25" s="75"/>
      <c r="H25" s="67">
        <f>H19+H24</f>
        <v>1009120.9950472622</v>
      </c>
      <c r="I25" s="75"/>
      <c r="J25" s="67">
        <f>J19+J24</f>
        <v>944859.2268354201</v>
      </c>
      <c r="K25" s="75"/>
      <c r="L25" s="67">
        <f>L19+L24</f>
        <v>151587.11372739734</v>
      </c>
      <c r="M25" s="75"/>
      <c r="N25" s="67">
        <f>N19+N24</f>
        <v>3654976.7611936596</v>
      </c>
      <c r="O25" s="77"/>
      <c r="P25" s="35"/>
    </row>
    <row r="27" ht="12.75">
      <c r="A27" t="s">
        <v>641</v>
      </c>
    </row>
    <row r="28" ht="12.75">
      <c r="A28" t="s">
        <v>870</v>
      </c>
    </row>
    <row r="29" ht="12.75">
      <c r="A29" t="s">
        <v>661</v>
      </c>
    </row>
    <row r="30" ht="12.75">
      <c r="A30" t="s">
        <v>662</v>
      </c>
    </row>
    <row r="31" ht="12.75">
      <c r="A31" t="s">
        <v>663</v>
      </c>
    </row>
    <row r="32" ht="12.75">
      <c r="A32" t="s">
        <v>664</v>
      </c>
    </row>
    <row r="33" ht="12.75">
      <c r="A33" t="s">
        <v>685</v>
      </c>
    </row>
    <row r="36" ht="12.75">
      <c r="A36" t="s">
        <v>658</v>
      </c>
    </row>
    <row r="37" ht="12.75">
      <c r="A37" t="s">
        <v>670</v>
      </c>
    </row>
    <row r="38" spans="1:2" ht="12.75">
      <c r="A38" t="s">
        <v>672</v>
      </c>
      <c r="B38" s="67">
        <v>200000</v>
      </c>
    </row>
    <row r="39" spans="1:2" ht="12.75">
      <c r="A39" t="s">
        <v>671</v>
      </c>
      <c r="B39" s="67">
        <v>600000</v>
      </c>
    </row>
    <row r="40" spans="1:2" ht="12.75">
      <c r="A40" t="s">
        <v>673</v>
      </c>
      <c r="B40" s="67">
        <v>40000</v>
      </c>
    </row>
    <row r="41" spans="1:2" ht="12.75">
      <c r="A41" t="s">
        <v>674</v>
      </c>
      <c r="B41" s="67">
        <v>80000</v>
      </c>
    </row>
    <row r="42" spans="1:2" ht="12.75">
      <c r="A42" t="s">
        <v>675</v>
      </c>
      <c r="B42" s="67">
        <v>485000</v>
      </c>
    </row>
    <row r="43" spans="1:2" ht="12.75">
      <c r="A43" t="s">
        <v>679</v>
      </c>
      <c r="B43" s="67">
        <v>20000</v>
      </c>
    </row>
    <row r="44" spans="1:2" ht="12.75">
      <c r="A44" t="s">
        <v>676</v>
      </c>
      <c r="B44" s="67"/>
    </row>
    <row r="45" spans="1:2" ht="12.75">
      <c r="A45" t="s">
        <v>677</v>
      </c>
      <c r="B45" s="67">
        <v>6000</v>
      </c>
    </row>
    <row r="46" spans="1:2" ht="12.75">
      <c r="A46" t="s">
        <v>678</v>
      </c>
      <c r="B46" s="67">
        <v>6500</v>
      </c>
    </row>
    <row r="47" spans="1:2" ht="12.75">
      <c r="A47" t="s">
        <v>680</v>
      </c>
      <c r="B47" s="67">
        <v>3000</v>
      </c>
    </row>
    <row r="48" spans="1:2" ht="12.75">
      <c r="A48" t="s">
        <v>681</v>
      </c>
      <c r="B48" s="67">
        <v>5000</v>
      </c>
    </row>
    <row r="49" spans="1:2" ht="12.75">
      <c r="A49" t="s">
        <v>683</v>
      </c>
      <c r="B49" s="67">
        <v>4000</v>
      </c>
    </row>
    <row r="50" spans="1:2" ht="12.75">
      <c r="A50" t="s">
        <v>684</v>
      </c>
      <c r="B50" s="67">
        <v>3000</v>
      </c>
    </row>
    <row r="51" spans="1:2" ht="12.75">
      <c r="A51" t="s">
        <v>682</v>
      </c>
      <c r="B51" s="67">
        <v>10000</v>
      </c>
    </row>
    <row r="52" spans="1:2" ht="12.75">
      <c r="A52" t="s">
        <v>445</v>
      </c>
      <c r="B52" s="67">
        <f>SUM(B38:B51)</f>
        <v>1462500</v>
      </c>
    </row>
  </sheetData>
  <printOptions/>
  <pageMargins left="0.22" right="0.17" top="0.91" bottom="0.78" header="0.5" footer="0.5"/>
  <pageSetup fitToHeight="1" fitToWidth="1"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pageSetUpPr fitToPage="1"/>
  </sheetPr>
  <dimension ref="A1:P52"/>
  <sheetViews>
    <sheetView workbookViewId="0" topLeftCell="A1">
      <selection activeCell="A29" sqref="A29"/>
    </sheetView>
  </sheetViews>
  <sheetFormatPr defaultColWidth="9.140625" defaultRowHeight="12.75"/>
  <cols>
    <col min="1" max="1" width="37.140625" style="0" customWidth="1"/>
    <col min="2" max="2" width="11.7109375" style="0" customWidth="1"/>
    <col min="3" max="3" width="6.57421875" style="0" customWidth="1"/>
    <col min="4" max="4" width="12.421875" style="0" customWidth="1"/>
    <col min="5" max="5" width="6.57421875" style="0" customWidth="1"/>
    <col min="6" max="6" width="12.421875" style="0" customWidth="1"/>
    <col min="7" max="7" width="6.57421875" style="0" customWidth="1"/>
    <col min="8" max="8" width="12.421875" style="0" customWidth="1"/>
    <col min="9" max="9" width="6.57421875" style="0" customWidth="1"/>
    <col min="10" max="10" width="12.421875" style="0" customWidth="1"/>
    <col min="11" max="11" width="6.57421875" style="0" customWidth="1"/>
    <col min="12" max="12" width="12.421875" style="0" customWidth="1"/>
    <col min="13" max="13" width="6.57421875" style="0" customWidth="1"/>
    <col min="14" max="14" width="12.421875" style="0" customWidth="1"/>
    <col min="15" max="15" width="3.8515625" style="0" customWidth="1"/>
    <col min="16" max="16" width="7.8515625" style="0" customWidth="1"/>
    <col min="17" max="17" width="12.00390625" style="0" customWidth="1"/>
  </cols>
  <sheetData>
    <row r="1" spans="2:4" ht="12.75">
      <c r="B1" t="s">
        <v>665</v>
      </c>
      <c r="C1">
        <v>1824</v>
      </c>
      <c r="D1" t="s">
        <v>659</v>
      </c>
    </row>
    <row r="2" spans="2:4" ht="12.75">
      <c r="B2" t="s">
        <v>667</v>
      </c>
      <c r="C2" s="120">
        <v>0.035</v>
      </c>
      <c r="D2" t="s">
        <v>668</v>
      </c>
    </row>
    <row r="3" spans="2:14" ht="12.75">
      <c r="B3" s="83"/>
      <c r="C3">
        <v>2</v>
      </c>
      <c r="D3" s="83"/>
      <c r="E3">
        <v>3</v>
      </c>
      <c r="F3" s="83"/>
      <c r="G3">
        <v>4</v>
      </c>
      <c r="H3" s="83"/>
      <c r="I3">
        <v>5</v>
      </c>
      <c r="J3" s="83"/>
      <c r="K3">
        <v>6</v>
      </c>
      <c r="L3" s="83"/>
      <c r="N3" s="83"/>
    </row>
    <row r="4" spans="2:14" ht="12.75">
      <c r="B4" s="83"/>
      <c r="C4" t="s">
        <v>647</v>
      </c>
      <c r="D4" s="83"/>
      <c r="E4" t="s">
        <v>651</v>
      </c>
      <c r="F4" s="83"/>
      <c r="G4" t="s">
        <v>652</v>
      </c>
      <c r="H4" s="83"/>
      <c r="I4" t="s">
        <v>653</v>
      </c>
      <c r="J4" s="83"/>
      <c r="K4" t="s">
        <v>654</v>
      </c>
      <c r="L4" s="83"/>
      <c r="N4" s="83"/>
    </row>
    <row r="5" spans="1:14" ht="12.75">
      <c r="A5" s="65" t="s">
        <v>648</v>
      </c>
      <c r="B5" s="83"/>
      <c r="C5" s="101" t="s">
        <v>649</v>
      </c>
      <c r="D5" s="86"/>
      <c r="E5" s="102" t="s">
        <v>650</v>
      </c>
      <c r="F5" s="88"/>
      <c r="G5" s="103" t="s">
        <v>655</v>
      </c>
      <c r="H5" s="90"/>
      <c r="I5" s="103"/>
      <c r="J5" s="90"/>
      <c r="K5" s="103"/>
      <c r="L5" s="90"/>
      <c r="N5" s="83"/>
    </row>
    <row r="6" spans="2:14" ht="12.75">
      <c r="B6" s="83"/>
      <c r="D6" s="83"/>
      <c r="F6" s="83"/>
      <c r="H6" s="83"/>
      <c r="J6" s="83"/>
      <c r="L6" s="83"/>
      <c r="M6" s="65" t="s">
        <v>669</v>
      </c>
      <c r="N6" s="83"/>
    </row>
    <row r="7" spans="1:16" ht="12.75">
      <c r="A7" s="69" t="s">
        <v>638</v>
      </c>
      <c r="B7" s="95" t="s">
        <v>637</v>
      </c>
      <c r="C7" s="68" t="s">
        <v>639</v>
      </c>
      <c r="D7" s="91" t="s">
        <v>640</v>
      </c>
      <c r="E7" s="68" t="s">
        <v>639</v>
      </c>
      <c r="F7" s="91" t="s">
        <v>640</v>
      </c>
      <c r="G7" s="68" t="s">
        <v>639</v>
      </c>
      <c r="H7" s="91" t="s">
        <v>640</v>
      </c>
      <c r="I7" s="68" t="s">
        <v>639</v>
      </c>
      <c r="J7" s="91" t="s">
        <v>640</v>
      </c>
      <c r="K7" s="68" t="s">
        <v>639</v>
      </c>
      <c r="L7" s="91" t="s">
        <v>640</v>
      </c>
      <c r="M7" s="68" t="s">
        <v>639</v>
      </c>
      <c r="N7" s="91" t="s">
        <v>640</v>
      </c>
      <c r="P7" t="s">
        <v>666</v>
      </c>
    </row>
    <row r="8" spans="1:14" ht="12.75">
      <c r="A8" t="s">
        <v>449</v>
      </c>
      <c r="B8" s="96"/>
      <c r="D8" s="92"/>
      <c r="F8" s="92"/>
      <c r="H8" s="92"/>
      <c r="J8" s="92"/>
      <c r="L8" s="92"/>
      <c r="N8" s="92"/>
    </row>
    <row r="9" spans="1:16" ht="12.75">
      <c r="A9" t="s">
        <v>630</v>
      </c>
      <c r="B9" s="97" t="s">
        <v>642</v>
      </c>
      <c r="C9">
        <f>$C$1*0.5</f>
        <v>912</v>
      </c>
      <c r="D9" s="92">
        <f>C9*$P9*(1+$C$2)^C$3</f>
        <v>58617.43199999999</v>
      </c>
      <c r="E9">
        <f>$C$1*0.5</f>
        <v>912</v>
      </c>
      <c r="F9" s="92">
        <f>E9*$P9*(1+$C$2)^E$3</f>
        <v>60669.042119999984</v>
      </c>
      <c r="G9">
        <f>$C$1*0.5</f>
        <v>912</v>
      </c>
      <c r="H9" s="92">
        <f>G9*$P9*(1+$C$2)^G$3</f>
        <v>62792.45859419998</v>
      </c>
      <c r="J9" s="92">
        <f>I9*$P9*(1+$C$2)^I$3</f>
        <v>0</v>
      </c>
      <c r="L9" s="92">
        <f>K9*$P9*(1+$C$2)^K$3</f>
        <v>0</v>
      </c>
      <c r="M9">
        <f>C9+E9+G9+I9+K9</f>
        <v>2736</v>
      </c>
      <c r="N9" s="92">
        <f>D9+F9+H9+J9+L9</f>
        <v>182078.93271419994</v>
      </c>
      <c r="P9" s="67">
        <v>60</v>
      </c>
    </row>
    <row r="10" spans="1:16" ht="12.75">
      <c r="A10" t="s">
        <v>629</v>
      </c>
      <c r="B10" s="97" t="s">
        <v>642</v>
      </c>
      <c r="C10">
        <f>$C$1*1.5</f>
        <v>2736</v>
      </c>
      <c r="D10" s="92">
        <f>C10*$P10*(1+$C$2)^C$3</f>
        <v>175852.29599999997</v>
      </c>
      <c r="E10">
        <f>$C$1*1.5</f>
        <v>2736</v>
      </c>
      <c r="F10" s="92">
        <f>E10*$P10*(1+$C$2)^E$3</f>
        <v>182007.12635999997</v>
      </c>
      <c r="G10">
        <f>$C$1*0.5</f>
        <v>912</v>
      </c>
      <c r="H10" s="92">
        <f>G10*$P10*(1+$C$2)^G$3</f>
        <v>62792.45859419998</v>
      </c>
      <c r="I10">
        <f>$C$1*0.5</f>
        <v>912</v>
      </c>
      <c r="J10" s="92">
        <f>I10*$P10*(1+$C$2)^I$3</f>
        <v>64990.19464499697</v>
      </c>
      <c r="K10">
        <f>$C$1*0.5*0.25</f>
        <v>228</v>
      </c>
      <c r="L10" s="92">
        <f>K10*$P10*(1+$C$2)^K$3</f>
        <v>16816.21286439297</v>
      </c>
      <c r="M10">
        <f aca="true" t="shared" si="0" ref="M10:N13">C10+E10+G10+I10+K10</f>
        <v>7524</v>
      </c>
      <c r="N10" s="92">
        <f t="shared" si="0"/>
        <v>502458.28846358985</v>
      </c>
      <c r="P10" s="67">
        <v>60</v>
      </c>
    </row>
    <row r="11" spans="1:16" ht="12.75">
      <c r="A11" t="s">
        <v>631</v>
      </c>
      <c r="B11" s="97" t="s">
        <v>642</v>
      </c>
      <c r="C11">
        <f>$C$1*0.2</f>
        <v>364.8</v>
      </c>
      <c r="D11" s="92">
        <f>C11*$P11*(1+$C$2)^C$3</f>
        <v>23446.972799999996</v>
      </c>
      <c r="E11">
        <f>$C$1*0.2</f>
        <v>364.8</v>
      </c>
      <c r="F11" s="92">
        <f>E11*$P11*(1+$C$2)^E$3</f>
        <v>24267.616847999994</v>
      </c>
      <c r="G11">
        <f>$C$1*0.5</f>
        <v>912</v>
      </c>
      <c r="H11" s="92">
        <f>G11*$P11*(1+$C$2)^G$3</f>
        <v>62792.45859419998</v>
      </c>
      <c r="I11">
        <f>$C$1*0.5</f>
        <v>912</v>
      </c>
      <c r="J11" s="92">
        <f>I11*$P11*(1+$C$2)^I$3</f>
        <v>64990.19464499697</v>
      </c>
      <c r="K11">
        <f>$C$1*0.5*0.25</f>
        <v>228</v>
      </c>
      <c r="L11" s="92">
        <f>K11*$P11*(1+$C$2)^K$3</f>
        <v>16816.21286439297</v>
      </c>
      <c r="M11">
        <f t="shared" si="0"/>
        <v>2781.6</v>
      </c>
      <c r="N11" s="92">
        <f t="shared" si="0"/>
        <v>192313.4557515899</v>
      </c>
      <c r="P11" s="67">
        <v>60</v>
      </c>
    </row>
    <row r="12" spans="1:16" ht="12.75">
      <c r="A12" t="s">
        <v>632</v>
      </c>
      <c r="B12" s="97" t="s">
        <v>642</v>
      </c>
      <c r="C12">
        <f>$C$1*0.2</f>
        <v>364.8</v>
      </c>
      <c r="D12" s="92">
        <f>C12*$P12*(1+$C$2)^C$3</f>
        <v>23446.972799999996</v>
      </c>
      <c r="E12">
        <f>$C$1*0.2</f>
        <v>364.8</v>
      </c>
      <c r="F12" s="92">
        <f>E12*$P12*(1+$C$2)^E$3</f>
        <v>24267.616847999994</v>
      </c>
      <c r="G12">
        <f>$C$1*0.5</f>
        <v>912</v>
      </c>
      <c r="H12" s="92">
        <f>G12*$P12*(1+$C$2)^G$3</f>
        <v>62792.45859419998</v>
      </c>
      <c r="I12">
        <f>$C$1*0.5</f>
        <v>912</v>
      </c>
      <c r="J12" s="92">
        <f>I12*$P12*(1+$C$2)^I$3</f>
        <v>64990.19464499697</v>
      </c>
      <c r="K12">
        <f>$C$1*0.5*0.25</f>
        <v>228</v>
      </c>
      <c r="L12" s="92">
        <f>K12*$P12*(1+$C$2)^K$3</f>
        <v>16816.21286439297</v>
      </c>
      <c r="M12">
        <f t="shared" si="0"/>
        <v>2781.6</v>
      </c>
      <c r="N12" s="92">
        <f t="shared" si="0"/>
        <v>192313.4557515899</v>
      </c>
      <c r="P12" s="67">
        <v>60</v>
      </c>
    </row>
    <row r="13" spans="1:16" ht="12.75">
      <c r="A13" t="s">
        <v>660</v>
      </c>
      <c r="B13" s="97">
        <v>3</v>
      </c>
      <c r="C13">
        <f>$C$1*0.2</f>
        <v>364.8</v>
      </c>
      <c r="D13" s="92">
        <f>C13*$P13*(1+$C$2)^C$3</f>
        <v>22274.62416</v>
      </c>
      <c r="E13">
        <f>$C$1*0.2</f>
        <v>364.8</v>
      </c>
      <c r="F13" s="92">
        <f>E13*$P13*(1+$C$2)^E$3</f>
        <v>23054.236005599996</v>
      </c>
      <c r="G13">
        <f>$C$1*0.2</f>
        <v>364.8</v>
      </c>
      <c r="H13" s="92">
        <f>G13*$P13*(1+$C$2)^G$3</f>
        <v>23861.134265795998</v>
      </c>
      <c r="I13">
        <f>$C$1*0.2</f>
        <v>364.8</v>
      </c>
      <c r="J13" s="92">
        <f>I13*$P13*(1+$C$2)^I$3</f>
        <v>24696.27396509885</v>
      </c>
      <c r="K13">
        <f>$C$1*0.2*0.25</f>
        <v>91.2</v>
      </c>
      <c r="L13" s="92">
        <f>K13*$P13*(1+$C$2)^K$3</f>
        <v>6390.160888469329</v>
      </c>
      <c r="M13">
        <f t="shared" si="0"/>
        <v>1550.4</v>
      </c>
      <c r="N13" s="92">
        <f t="shared" si="0"/>
        <v>100276.42928496416</v>
      </c>
      <c r="P13" s="67">
        <v>57</v>
      </c>
    </row>
    <row r="14" spans="1:16" ht="12.75">
      <c r="A14" t="s">
        <v>633</v>
      </c>
      <c r="B14" s="97"/>
      <c r="D14" s="92"/>
      <c r="F14" s="92"/>
      <c r="H14" s="92"/>
      <c r="J14" s="92"/>
      <c r="L14" s="92"/>
      <c r="N14" s="92"/>
      <c r="P14" s="67"/>
    </row>
    <row r="15" spans="1:16" ht="12.75">
      <c r="A15" t="s">
        <v>448</v>
      </c>
      <c r="B15" s="97">
        <v>4</v>
      </c>
      <c r="C15">
        <f>$C$1*0.25</f>
        <v>456</v>
      </c>
      <c r="D15" s="92">
        <f>C15*$P15*(1+$C$2)^C$3</f>
        <v>31751.108999999997</v>
      </c>
      <c r="E15">
        <f>$C$1*0.25</f>
        <v>456</v>
      </c>
      <c r="F15" s="92">
        <f>E15*$P15*(1+$C$2)^E$3</f>
        <v>32862.39781499999</v>
      </c>
      <c r="G15">
        <f>$C$1*0.25</f>
        <v>456</v>
      </c>
      <c r="H15" s="92">
        <f>G15*$P15*(1+$C$2)^G$3</f>
        <v>34012.58173852499</v>
      </c>
      <c r="I15">
        <f>$C$1*0.25</f>
        <v>456</v>
      </c>
      <c r="J15" s="92">
        <f>I15*$P15*(1+$C$2)^I$3</f>
        <v>35203.02209937336</v>
      </c>
      <c r="K15">
        <f>$C$1*0.25*0.25</f>
        <v>114</v>
      </c>
      <c r="L15" s="92">
        <f>K15*$P15*(1+$C$2)^K$3</f>
        <v>9108.781968212857</v>
      </c>
      <c r="M15">
        <f>C15+E15+G15+I15+K15</f>
        <v>1938</v>
      </c>
      <c r="N15" s="92">
        <f>D15+F15+H15+J15+L15</f>
        <v>142937.8926211112</v>
      </c>
      <c r="P15" s="67">
        <v>65</v>
      </c>
    </row>
    <row r="16" spans="1:16" ht="12.75">
      <c r="A16" s="68" t="s">
        <v>644</v>
      </c>
      <c r="B16" s="98">
        <v>5</v>
      </c>
      <c r="C16" s="68"/>
      <c r="D16" s="93">
        <f>C16*$P16*(1+$C$2)^C$3</f>
        <v>0</v>
      </c>
      <c r="E16" s="68"/>
      <c r="F16" s="93">
        <f>E16*$P16*(1+$C$2)^E$3</f>
        <v>0</v>
      </c>
      <c r="G16" s="68">
        <f>$C$1*1.5</f>
        <v>2736</v>
      </c>
      <c r="H16" s="93">
        <f>G16*$P16*(1+$C$2)^G$3</f>
        <v>109886.80253984997</v>
      </c>
      <c r="I16" s="68">
        <f>$C$1*1.5</f>
        <v>2736</v>
      </c>
      <c r="J16" s="93">
        <f>I16*$P16*(1+$C$2)^I$3</f>
        <v>113732.8406287447</v>
      </c>
      <c r="K16" s="68">
        <f>$C$1*2*0.25</f>
        <v>912</v>
      </c>
      <c r="L16" s="93">
        <f>K16*$P16*(1+$C$2)^K$3</f>
        <v>39237.83001691692</v>
      </c>
      <c r="M16" s="68">
        <f>C16+E16+G16+I16+K16</f>
        <v>6384</v>
      </c>
      <c r="N16" s="93">
        <f>D16+F16+H16+J16+L16</f>
        <v>262857.4731855116</v>
      </c>
      <c r="P16" s="67">
        <v>35</v>
      </c>
    </row>
    <row r="17" spans="1:14" ht="12.75">
      <c r="A17" s="65" t="s">
        <v>656</v>
      </c>
      <c r="B17" s="97"/>
      <c r="D17" s="92">
        <f>SUM(D9:D16)</f>
        <v>335389.40676</v>
      </c>
      <c r="F17" s="92">
        <f>SUM(F9:F16)</f>
        <v>347128.0359965999</v>
      </c>
      <c r="H17" s="92">
        <f>SUM(H9:H16)</f>
        <v>418930.3529209709</v>
      </c>
      <c r="J17" s="92">
        <f>SUM(J9:J16)</f>
        <v>368602.72062820784</v>
      </c>
      <c r="L17" s="92">
        <f>SUM(L9:L16)</f>
        <v>105185.41146677801</v>
      </c>
      <c r="N17" s="92">
        <f>SUM(N9:N16)</f>
        <v>1575235.9277725567</v>
      </c>
    </row>
    <row r="18" spans="1:14" ht="12.75">
      <c r="A18" t="s">
        <v>645</v>
      </c>
      <c r="B18" s="97">
        <v>6</v>
      </c>
      <c r="D18" s="92">
        <f>D17*0.3</f>
        <v>100616.822028</v>
      </c>
      <c r="F18" s="92">
        <f>F17*0.3</f>
        <v>104138.41079897997</v>
      </c>
      <c r="H18" s="92">
        <f>H17*0.3</f>
        <v>125679.10587629126</v>
      </c>
      <c r="J18" s="92">
        <f>J17*0.3</f>
        <v>110580.81618846236</v>
      </c>
      <c r="L18" s="92">
        <f>L17*0.3</f>
        <v>31555.6234400334</v>
      </c>
      <c r="N18" s="92">
        <f>N17*0.3</f>
        <v>472570.77833176695</v>
      </c>
    </row>
    <row r="19" spans="1:14" ht="12.75">
      <c r="A19" s="71" t="s">
        <v>657</v>
      </c>
      <c r="B19" s="99"/>
      <c r="C19" s="72"/>
      <c r="D19" s="94">
        <f>D17+D18</f>
        <v>436006.22878799995</v>
      </c>
      <c r="E19" s="72"/>
      <c r="F19" s="94">
        <f>F17+F18</f>
        <v>451266.44679557986</v>
      </c>
      <c r="G19" s="72"/>
      <c r="H19" s="94">
        <f>H17+H18</f>
        <v>544609.4587972622</v>
      </c>
      <c r="I19" s="72"/>
      <c r="J19" s="94">
        <f>J17+J18</f>
        <v>479183.5368166702</v>
      </c>
      <c r="K19" s="72"/>
      <c r="L19" s="94">
        <f>L17+L18</f>
        <v>136741.0349068114</v>
      </c>
      <c r="M19" s="72"/>
      <c r="N19" s="94">
        <f>N17+N18</f>
        <v>2047806.7061043237</v>
      </c>
    </row>
    <row r="20" spans="1:14" ht="12.75">
      <c r="A20" t="s">
        <v>634</v>
      </c>
      <c r="B20" s="97"/>
      <c r="D20" s="92"/>
      <c r="F20" s="92"/>
      <c r="H20" s="92"/>
      <c r="J20" s="92"/>
      <c r="L20" s="92"/>
      <c r="N20" s="92"/>
    </row>
    <row r="21" spans="1:14" ht="12.75">
      <c r="A21" t="s">
        <v>635</v>
      </c>
      <c r="B21" s="97"/>
      <c r="D21" s="92"/>
      <c r="F21" s="92">
        <f>B38</f>
        <v>600000</v>
      </c>
      <c r="H21" s="92">
        <f>($B$52-$B$38)/2</f>
        <v>307250</v>
      </c>
      <c r="J21" s="92">
        <f>($B$52-$B$38)/2</f>
        <v>307250</v>
      </c>
      <c r="L21" s="92"/>
      <c r="N21" s="92">
        <f>D21+F21+H21+J21+L21</f>
        <v>1214500</v>
      </c>
    </row>
    <row r="22" spans="1:14" ht="12.75">
      <c r="A22" t="s">
        <v>636</v>
      </c>
      <c r="B22" s="97"/>
      <c r="D22" s="92">
        <v>10000</v>
      </c>
      <c r="F22" s="92">
        <f>$D22*(1+$C$2)^C$3</f>
        <v>10712.249999999998</v>
      </c>
      <c r="H22" s="92">
        <f>$D22*(1+$C$2)^E$3</f>
        <v>11087.178749999997</v>
      </c>
      <c r="J22" s="92">
        <f>$D22*(1+$C$2)^G$3</f>
        <v>11475.230006249996</v>
      </c>
      <c r="L22" s="92">
        <f>($D22*(1+$C$2)^I$3)*0.25</f>
        <v>2969.215764117186</v>
      </c>
      <c r="N22" s="92">
        <f>D22+F22+H22+J22+L22</f>
        <v>46243.87452036718</v>
      </c>
    </row>
    <row r="23" spans="1:14" ht="12.75">
      <c r="A23" t="s">
        <v>454</v>
      </c>
      <c r="B23" s="96"/>
      <c r="D23" s="92">
        <v>20000</v>
      </c>
      <c r="F23" s="92">
        <f>$D23*(1+$C$2)^C$3</f>
        <v>21424.499999999996</v>
      </c>
      <c r="H23" s="92">
        <f>$D23*(1+$C$2)^E$3</f>
        <v>22174.357499999995</v>
      </c>
      <c r="J23" s="92">
        <f>$D23*(1+$C$2)^G$3</f>
        <v>22950.460012499992</v>
      </c>
      <c r="L23" s="92">
        <f>($D23*(1+$C$2)^I$3)*0.5</f>
        <v>11876.863056468745</v>
      </c>
      <c r="N23" s="92">
        <f>D23+F23+H23+J23+L23</f>
        <v>98426.18056896873</v>
      </c>
    </row>
    <row r="24" spans="1:14" ht="12.75">
      <c r="A24" s="71" t="s">
        <v>646</v>
      </c>
      <c r="B24" s="100"/>
      <c r="C24" s="72"/>
      <c r="D24" s="94">
        <f>SUM(D21:D23)</f>
        <v>30000</v>
      </c>
      <c r="E24" s="72"/>
      <c r="F24" s="94">
        <f>SUM(F21:F23)</f>
        <v>632136.75</v>
      </c>
      <c r="G24" s="72"/>
      <c r="H24" s="94">
        <f>SUM(H21:H23)</f>
        <v>340511.53625</v>
      </c>
      <c r="I24" s="72"/>
      <c r="J24" s="94">
        <f>SUM(J21:J23)</f>
        <v>341675.69001874997</v>
      </c>
      <c r="K24" s="72"/>
      <c r="L24" s="94">
        <f>SUM(L21:L23)</f>
        <v>14846.078820585932</v>
      </c>
      <c r="M24" s="72"/>
      <c r="N24" s="94">
        <f>SUM(N21:N23)</f>
        <v>1359170.055089336</v>
      </c>
    </row>
    <row r="25" spans="1:14" ht="12.75">
      <c r="A25" s="65" t="s">
        <v>643</v>
      </c>
      <c r="B25" s="96"/>
      <c r="D25" s="92">
        <f>D19+D24</f>
        <v>466006.22878799995</v>
      </c>
      <c r="F25" s="92">
        <f>F19+F24</f>
        <v>1083403.19679558</v>
      </c>
      <c r="H25" s="92">
        <f>H19+H24</f>
        <v>885120.9950472622</v>
      </c>
      <c r="J25" s="92">
        <f>J19+J24</f>
        <v>820859.2268354201</v>
      </c>
      <c r="L25" s="92">
        <f>L19+L24</f>
        <v>151587.11372739734</v>
      </c>
      <c r="N25" s="92">
        <f>N19+N24</f>
        <v>3406976.7611936596</v>
      </c>
    </row>
    <row r="27" ht="12.75">
      <c r="A27" t="s">
        <v>641</v>
      </c>
    </row>
    <row r="28" ht="12.75">
      <c r="A28" t="s">
        <v>870</v>
      </c>
    </row>
    <row r="29" ht="12.75">
      <c r="A29" t="s">
        <v>661</v>
      </c>
    </row>
    <row r="30" ht="12.75">
      <c r="A30" t="s">
        <v>662</v>
      </c>
    </row>
    <row r="31" ht="12.75">
      <c r="A31" t="s">
        <v>663</v>
      </c>
    </row>
    <row r="32" ht="12.75">
      <c r="A32" t="s">
        <v>664</v>
      </c>
    </row>
    <row r="33" ht="12.75">
      <c r="A33" t="s">
        <v>685</v>
      </c>
    </row>
    <row r="36" ht="12.75">
      <c r="A36" t="s">
        <v>658</v>
      </c>
    </row>
    <row r="37" spans="1:2" ht="12.75">
      <c r="A37" t="s">
        <v>686</v>
      </c>
      <c r="B37" s="67">
        <v>100000</v>
      </c>
    </row>
    <row r="38" spans="1:2" ht="12.75">
      <c r="A38" t="s">
        <v>671</v>
      </c>
      <c r="B38" s="67">
        <v>600000</v>
      </c>
    </row>
    <row r="39" spans="1:2" ht="12.75">
      <c r="A39" t="s">
        <v>673</v>
      </c>
      <c r="B39" s="67">
        <v>25000</v>
      </c>
    </row>
    <row r="40" spans="1:2" ht="12.75">
      <c r="A40" t="s">
        <v>674</v>
      </c>
      <c r="B40" s="67">
        <v>60000</v>
      </c>
    </row>
    <row r="41" spans="1:2" ht="12.75">
      <c r="A41" t="s">
        <v>687</v>
      </c>
      <c r="B41" s="67">
        <v>300000</v>
      </c>
    </row>
    <row r="42" spans="1:2" ht="12.75">
      <c r="A42" t="s">
        <v>688</v>
      </c>
      <c r="B42" s="67">
        <v>80000</v>
      </c>
    </row>
    <row r="43" spans="1:2" ht="12.75">
      <c r="A43" t="s">
        <v>689</v>
      </c>
      <c r="B43" s="67">
        <v>12000</v>
      </c>
    </row>
    <row r="44" spans="1:2" ht="12.75">
      <c r="A44" t="s">
        <v>676</v>
      </c>
      <c r="B44" s="67"/>
    </row>
    <row r="45" spans="1:2" ht="12.75">
      <c r="A45" t="s">
        <v>677</v>
      </c>
      <c r="B45" s="67">
        <v>6000</v>
      </c>
    </row>
    <row r="46" spans="1:2" ht="12.75">
      <c r="A46" t="s">
        <v>678</v>
      </c>
      <c r="B46" s="67">
        <v>6500</v>
      </c>
    </row>
    <row r="47" spans="1:2" ht="12.75">
      <c r="A47" t="s">
        <v>680</v>
      </c>
      <c r="B47" s="67">
        <v>3000</v>
      </c>
    </row>
    <row r="48" spans="1:2" ht="12.75">
      <c r="A48" t="s">
        <v>681</v>
      </c>
      <c r="B48" s="67">
        <v>5000</v>
      </c>
    </row>
    <row r="49" spans="1:2" ht="12.75">
      <c r="A49" t="s">
        <v>683</v>
      </c>
      <c r="B49" s="67">
        <v>4000</v>
      </c>
    </row>
    <row r="50" spans="1:2" ht="12.75">
      <c r="A50" t="s">
        <v>684</v>
      </c>
      <c r="B50" s="67">
        <v>3000</v>
      </c>
    </row>
    <row r="51" spans="1:2" ht="12.75">
      <c r="A51" t="s">
        <v>682</v>
      </c>
      <c r="B51" s="67">
        <v>10000</v>
      </c>
    </row>
    <row r="52" spans="1:2" ht="12.75">
      <c r="A52" t="s">
        <v>445</v>
      </c>
      <c r="B52" s="67">
        <f>SUM(B37:B51)</f>
        <v>1214500</v>
      </c>
    </row>
  </sheetData>
  <printOptions/>
  <pageMargins left="0.17" right="0.17" top="1" bottom="0.58" header="0.5" footer="0.37"/>
  <pageSetup fitToHeight="1" fitToWidth="1" horizontalDpi="600" verticalDpi="600" orientation="landscape" scale="74" r:id="rId1"/>
</worksheet>
</file>

<file path=xl/worksheets/sheet9.xml><?xml version="1.0" encoding="utf-8"?>
<worksheet xmlns="http://schemas.openxmlformats.org/spreadsheetml/2006/main" xmlns:r="http://schemas.openxmlformats.org/officeDocument/2006/relationships">
  <dimension ref="A1:E27"/>
  <sheetViews>
    <sheetView workbookViewId="0" topLeftCell="A1">
      <selection activeCell="B5" sqref="B5"/>
    </sheetView>
  </sheetViews>
  <sheetFormatPr defaultColWidth="9.140625" defaultRowHeight="12.75"/>
  <cols>
    <col min="1" max="1" width="4.140625" style="1" customWidth="1"/>
    <col min="2" max="3" width="24.7109375" style="0" customWidth="1"/>
    <col min="4" max="4" width="57.28125" style="0" customWidth="1"/>
    <col min="5" max="5" width="18.7109375" style="0" customWidth="1"/>
  </cols>
  <sheetData>
    <row r="1" spans="1:5" s="65" customFormat="1" ht="12.75">
      <c r="A1" s="64" t="s">
        <v>401</v>
      </c>
      <c r="B1" s="64" t="s">
        <v>399</v>
      </c>
      <c r="C1" s="64" t="s">
        <v>403</v>
      </c>
      <c r="D1" s="64" t="s">
        <v>411</v>
      </c>
      <c r="E1" s="64" t="s">
        <v>400</v>
      </c>
    </row>
    <row r="2" spans="1:5" ht="25.5">
      <c r="A2" s="1">
        <v>1</v>
      </c>
      <c r="B2" s="2" t="s">
        <v>616</v>
      </c>
      <c r="C2" s="2"/>
      <c r="D2" s="2" t="s">
        <v>626</v>
      </c>
      <c r="E2" s="2"/>
    </row>
    <row r="3" spans="1:5" ht="25.5">
      <c r="A3" s="1">
        <f>A2+1</f>
        <v>2</v>
      </c>
      <c r="B3" s="2" t="s">
        <v>617</v>
      </c>
      <c r="C3" s="2"/>
      <c r="D3" s="2" t="s">
        <v>627</v>
      </c>
      <c r="E3" s="2"/>
    </row>
    <row r="4" spans="1:5" ht="25.5">
      <c r="A4" s="1">
        <f aca="true" t="shared" si="0" ref="A4:A19">A3+1</f>
        <v>3</v>
      </c>
      <c r="B4" s="2" t="s">
        <v>619</v>
      </c>
      <c r="C4" s="2"/>
      <c r="D4" s="2" t="s">
        <v>628</v>
      </c>
      <c r="E4" s="2"/>
    </row>
    <row r="5" spans="1:5" ht="38.25">
      <c r="A5" s="1">
        <f t="shared" si="0"/>
        <v>4</v>
      </c>
      <c r="B5" s="2" t="s">
        <v>620</v>
      </c>
      <c r="C5" s="2"/>
      <c r="D5" s="2"/>
      <c r="E5" s="2"/>
    </row>
    <row r="6" spans="1:5" ht="12.75">
      <c r="A6" s="1">
        <f t="shared" si="0"/>
        <v>5</v>
      </c>
      <c r="B6" s="2"/>
      <c r="C6" s="2"/>
      <c r="D6" s="2"/>
      <c r="E6" s="2"/>
    </row>
    <row r="7" spans="1:5" ht="12.75">
      <c r="A7" s="1">
        <f t="shared" si="0"/>
        <v>6</v>
      </c>
      <c r="B7" s="2"/>
      <c r="C7" s="2"/>
      <c r="D7" s="2"/>
      <c r="E7" s="2"/>
    </row>
    <row r="8" spans="1:5" ht="12.75">
      <c r="A8" s="1">
        <f t="shared" si="0"/>
        <v>7</v>
      </c>
      <c r="B8" s="2"/>
      <c r="C8" s="2"/>
      <c r="D8" s="2"/>
      <c r="E8" s="2"/>
    </row>
    <row r="9" spans="1:5" ht="12.75">
      <c r="A9" s="1">
        <f t="shared" si="0"/>
        <v>8</v>
      </c>
      <c r="B9" s="2"/>
      <c r="C9" s="2"/>
      <c r="D9" s="2"/>
      <c r="E9" s="2"/>
    </row>
    <row r="10" spans="1:5" ht="12.75">
      <c r="A10" s="1">
        <f t="shared" si="0"/>
        <v>9</v>
      </c>
      <c r="B10" s="2"/>
      <c r="C10" s="2"/>
      <c r="D10" s="2"/>
      <c r="E10" s="2"/>
    </row>
    <row r="11" spans="1:5" ht="12.75">
      <c r="A11" s="1">
        <f t="shared" si="0"/>
        <v>10</v>
      </c>
      <c r="B11" s="2"/>
      <c r="C11" s="2"/>
      <c r="D11" s="2"/>
      <c r="E11" s="2"/>
    </row>
    <row r="12" spans="1:5" ht="12.75">
      <c r="A12" s="1">
        <f t="shared" si="0"/>
        <v>11</v>
      </c>
      <c r="B12" s="2"/>
      <c r="C12" s="2"/>
      <c r="D12" s="2"/>
      <c r="E12" s="2"/>
    </row>
    <row r="13" spans="1:5" ht="12.75">
      <c r="A13" s="1">
        <f t="shared" si="0"/>
        <v>12</v>
      </c>
      <c r="B13" s="2"/>
      <c r="C13" s="2"/>
      <c r="D13" s="2"/>
      <c r="E13" s="2"/>
    </row>
    <row r="14" spans="1:5" ht="12.75">
      <c r="A14" s="1">
        <f t="shared" si="0"/>
        <v>13</v>
      </c>
      <c r="B14" s="2"/>
      <c r="C14" s="2"/>
      <c r="D14" s="2"/>
      <c r="E14" s="2"/>
    </row>
    <row r="15" spans="1:5" ht="12.75">
      <c r="A15" s="1">
        <f t="shared" si="0"/>
        <v>14</v>
      </c>
      <c r="B15" s="2"/>
      <c r="C15" s="2"/>
      <c r="D15" s="2"/>
      <c r="E15" s="2"/>
    </row>
    <row r="16" spans="1:5" ht="12.75">
      <c r="A16" s="1">
        <f t="shared" si="0"/>
        <v>15</v>
      </c>
      <c r="B16" s="2"/>
      <c r="C16" s="2"/>
      <c r="D16" s="2"/>
      <c r="E16" s="2"/>
    </row>
    <row r="17" spans="1:5" ht="12.75">
      <c r="A17" s="1">
        <f t="shared" si="0"/>
        <v>16</v>
      </c>
      <c r="B17" s="2"/>
      <c r="C17" s="2"/>
      <c r="D17" s="2"/>
      <c r="E17" s="2"/>
    </row>
    <row r="18" spans="1:5" ht="12.75">
      <c r="A18" s="1">
        <f t="shared" si="0"/>
        <v>17</v>
      </c>
      <c r="B18" s="2"/>
      <c r="C18" s="2"/>
      <c r="D18" s="2"/>
      <c r="E18" s="2"/>
    </row>
    <row r="19" spans="1:5" ht="12.75">
      <c r="A19" s="1">
        <f t="shared" si="0"/>
        <v>18</v>
      </c>
      <c r="B19" s="2"/>
      <c r="C19" s="2"/>
      <c r="D19" s="2"/>
      <c r="E19" s="2"/>
    </row>
    <row r="20" spans="2:5" ht="12.75">
      <c r="B20" s="2"/>
      <c r="C20" s="2"/>
      <c r="D20" s="2"/>
      <c r="E20" s="2"/>
    </row>
    <row r="21" spans="2:5" ht="12.75">
      <c r="B21" s="2"/>
      <c r="C21" s="2"/>
      <c r="D21" s="2"/>
      <c r="E21" s="2"/>
    </row>
    <row r="22" spans="2:5" ht="12.75">
      <c r="B22" s="2"/>
      <c r="C22" s="2"/>
      <c r="D22" s="2"/>
      <c r="E22" s="2"/>
    </row>
    <row r="23" spans="2:5" ht="12.75">
      <c r="B23" s="2"/>
      <c r="C23" s="2"/>
      <c r="D23" s="2"/>
      <c r="E23" s="2"/>
    </row>
    <row r="24" spans="2:5" ht="12.75">
      <c r="B24" s="2"/>
      <c r="C24" s="2"/>
      <c r="D24" s="2"/>
      <c r="E24" s="2"/>
    </row>
    <row r="25" spans="2:5" ht="12.75">
      <c r="B25" s="2"/>
      <c r="C25" s="2"/>
      <c r="D25" s="2"/>
      <c r="E25" s="2"/>
    </row>
    <row r="26" spans="2:5" ht="12.75">
      <c r="B26" s="2"/>
      <c r="C26" s="2"/>
      <c r="D26" s="2"/>
      <c r="E26" s="2"/>
    </row>
    <row r="27" spans="2:5" ht="12.75">
      <c r="B27" s="2"/>
      <c r="C27" s="2"/>
      <c r="D27" s="2"/>
      <c r="E27"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peterw</dc:creator>
  <cp:keywords/>
  <dc:description/>
  <cp:lastModifiedBy>peterw</cp:lastModifiedBy>
  <cp:lastPrinted>2009-01-30T02:00:17Z</cp:lastPrinted>
  <dcterms:created xsi:type="dcterms:W3CDTF">2008-12-03T02:12:39Z</dcterms:created>
  <dcterms:modified xsi:type="dcterms:W3CDTF">2009-01-31T03:00:18Z</dcterms:modified>
  <cp:category/>
  <cp:version/>
  <cp:contentType/>
  <cp:contentStatus/>
</cp:coreProperties>
</file>