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840" windowWidth="18510" windowHeight="12660" tabRatio="768" activeTab="4"/>
  </bookViews>
  <sheets>
    <sheet name="SCRD Requirements" sheetId="1" r:id="rId1"/>
    <sheet name="Cost Est (then-yr)" sheetId="2" r:id="rId2"/>
    <sheet name="Proposed Savings" sheetId="3" r:id="rId3"/>
    <sheet name="B2C Review tables" sheetId="4" r:id="rId4"/>
    <sheet name="Revised Est (then-yr)" sheetId="5" r:id="rId5"/>
    <sheet name="SDR Cost Estimate (FY08)" sheetId="6" r:id="rId6"/>
    <sheet name="NIR Imager ROM" sheetId="7" r:id="rId7"/>
    <sheet name="Vis Imager ROM" sheetId="8" r:id="rId8"/>
    <sheet name="Global" sheetId="9" r:id="rId9"/>
    <sheet name="AO System" sheetId="10" r:id="rId10"/>
    <sheet name="Laser Facility" sheetId="11" r:id="rId11"/>
    <sheet name="Science Instruments" sheetId="12" r:id="rId12"/>
  </sheets>
  <definedNames>
    <definedName name="_ftn1" localSheetId="0">'SCRD Requirements'!#REF!</definedName>
    <definedName name="_ftnref1" localSheetId="0">'SCRD Requirements'!#REF!</definedName>
  </definedNames>
  <calcPr fullCalcOnLoad="1"/>
</workbook>
</file>

<file path=xl/comments2.xml><?xml version="1.0" encoding="utf-8"?>
<comments xmlns="http://schemas.openxmlformats.org/spreadsheetml/2006/main">
  <authors>
    <author>peterw</author>
  </authors>
  <commentList>
    <comment ref="A13" authorId="0">
      <text>
        <r>
          <rPr>
            <b/>
            <sz val="8"/>
            <rFont val="Tahoma"/>
            <family val="0"/>
          </rPr>
          <t>peterw:</t>
        </r>
        <r>
          <rPr>
            <sz val="8"/>
            <rFont val="Tahoma"/>
            <family val="0"/>
          </rPr>
          <t xml:space="preserve">
Put 20% of total in as a place holder</t>
        </r>
      </text>
    </comment>
    <comment ref="A11" authorId="0">
      <text>
        <r>
          <rPr>
            <b/>
            <sz val="8"/>
            <rFont val="Tahoma"/>
            <family val="0"/>
          </rPr>
          <t>peterw:</t>
        </r>
        <r>
          <rPr>
            <sz val="8"/>
            <rFont val="Tahoma"/>
            <family val="0"/>
          </rPr>
          <t xml:space="preserve">
Used $189.7k for 1st yr &amp; $206.2k for 2nd yr from ATI proposal.
$4M total ROM from Peter until I get something better from Sean.
12/9/08 - increased from $4.3M to $5M per suggestion from Sean</t>
        </r>
      </text>
    </comment>
    <comment ref="A4" authorId="0">
      <text>
        <r>
          <rPr>
            <b/>
            <sz val="8"/>
            <rFont val="Tahoma"/>
            <family val="0"/>
          </rPr>
          <t>peterw:</t>
        </r>
        <r>
          <rPr>
            <sz val="8"/>
            <rFont val="Tahoma"/>
            <family val="0"/>
          </rPr>
          <t xml:space="preserve">
2 month slip vs SDR</t>
        </r>
      </text>
    </comment>
    <comment ref="A12" authorId="0">
      <text>
        <r>
          <rPr>
            <b/>
            <sz val="8"/>
            <rFont val="Tahoma"/>
            <family val="0"/>
          </rPr>
          <t>peterw:</t>
        </r>
        <r>
          <rPr>
            <sz val="8"/>
            <rFont val="Tahoma"/>
            <family val="0"/>
          </rPr>
          <t xml:space="preserve">
Slipped by 2 yr vs SA plan.</t>
        </r>
      </text>
    </comment>
    <comment ref="A10" authorId="0">
      <text>
        <r>
          <rPr>
            <b/>
            <sz val="8"/>
            <rFont val="Tahoma"/>
            <family val="0"/>
          </rPr>
          <t>peterw:</t>
        </r>
        <r>
          <rPr>
            <sz val="8"/>
            <rFont val="Tahoma"/>
            <family val="0"/>
          </rPr>
          <t xml:space="preserve">
Mostly shifted 1 yr later, except for $200k in FY09</t>
        </r>
      </text>
    </comment>
    <comment ref="A8" authorId="0">
      <text>
        <r>
          <rPr>
            <b/>
            <sz val="8"/>
            <rFont val="Tahoma"/>
            <family val="0"/>
          </rPr>
          <t>peterw:</t>
        </r>
        <r>
          <rPr>
            <sz val="8"/>
            <rFont val="Tahoma"/>
            <family val="0"/>
          </rPr>
          <t xml:space="preserve">
Increased NGAO contingency from 22 to 25%</t>
        </r>
      </text>
    </comment>
  </commentList>
</comments>
</file>

<file path=xl/comments5.xml><?xml version="1.0" encoding="utf-8"?>
<comments xmlns="http://schemas.openxmlformats.org/spreadsheetml/2006/main">
  <authors>
    <author>peterw</author>
  </authors>
  <commentList>
    <comment ref="A4" authorId="0">
      <text>
        <r>
          <rPr>
            <b/>
            <sz val="8"/>
            <rFont val="Tahoma"/>
            <family val="0"/>
          </rPr>
          <t>peterw:</t>
        </r>
        <r>
          <rPr>
            <sz val="8"/>
            <rFont val="Tahoma"/>
            <family val="0"/>
          </rPr>
          <t xml:space="preserve">
2 month slip vs SDR</t>
        </r>
      </text>
    </comment>
    <comment ref="A8" authorId="0">
      <text>
        <r>
          <rPr>
            <b/>
            <sz val="8"/>
            <rFont val="Tahoma"/>
            <family val="0"/>
          </rPr>
          <t>peterw:</t>
        </r>
        <r>
          <rPr>
            <sz val="8"/>
            <rFont val="Tahoma"/>
            <family val="0"/>
          </rPr>
          <t xml:space="preserve">
Increased NGAO contingency from 22 to 25%</t>
        </r>
      </text>
    </comment>
    <comment ref="A10" authorId="0">
      <text>
        <r>
          <rPr>
            <b/>
            <sz val="8"/>
            <rFont val="Tahoma"/>
            <family val="0"/>
          </rPr>
          <t>peterw:</t>
        </r>
        <r>
          <rPr>
            <sz val="8"/>
            <rFont val="Tahoma"/>
            <family val="0"/>
          </rPr>
          <t xml:space="preserve">
Mostly shifted 1 yr later, except for $200k in FY09</t>
        </r>
      </text>
    </comment>
    <comment ref="A11" authorId="0">
      <text>
        <r>
          <rPr>
            <b/>
            <sz val="8"/>
            <rFont val="Tahoma"/>
            <family val="0"/>
          </rPr>
          <t>peterw:</t>
        </r>
        <r>
          <rPr>
            <sz val="8"/>
            <rFont val="Tahoma"/>
            <family val="0"/>
          </rPr>
          <t xml:space="preserve">
Used $189.7k for 1st yr &amp; $206.2k for 2nd yr from ATI proposal.
$4M total ROM from Peter until I get something better from Sean.
12/9/08 - increased from $4.3M to $5M per suggestion from Sean</t>
        </r>
      </text>
    </comment>
    <comment ref="A12" authorId="0">
      <text>
        <r>
          <rPr>
            <b/>
            <sz val="8"/>
            <rFont val="Tahoma"/>
            <family val="0"/>
          </rPr>
          <t>peterw:</t>
        </r>
        <r>
          <rPr>
            <sz val="8"/>
            <rFont val="Tahoma"/>
            <family val="0"/>
          </rPr>
          <t xml:space="preserve">
Slipped by 2 yr vs SA plan.</t>
        </r>
      </text>
    </comment>
    <comment ref="A13" authorId="0">
      <text>
        <r>
          <rPr>
            <b/>
            <sz val="8"/>
            <rFont val="Tahoma"/>
            <family val="0"/>
          </rPr>
          <t>peterw:</t>
        </r>
        <r>
          <rPr>
            <sz val="8"/>
            <rFont val="Tahoma"/>
            <family val="0"/>
          </rPr>
          <t xml:space="preserve">
Put 20% of total in as a place holder</t>
        </r>
      </text>
    </comment>
  </commentList>
</comments>
</file>

<file path=xl/sharedStrings.xml><?xml version="1.0" encoding="utf-8"?>
<sst xmlns="http://schemas.openxmlformats.org/spreadsheetml/2006/main" count="1189" uniqueCount="922">
  <si>
    <t>$17k in HW for vis imager dichroic &amp; $3k HW for OSIRIS mirror.  Assume $30k + $10k labor.
Inflate to FY12.</t>
  </si>
  <si>
    <t>Error in SDR estimate</t>
  </si>
  <si>
    <t>Amount under $60M cap =</t>
  </si>
  <si>
    <t>Additional Contingency =</t>
  </si>
  <si>
    <t>Notes:</t>
  </si>
  <si>
    <t>Each one of the above proposals would work in the direction of simplifying NGAO, which also reduces risk.</t>
  </si>
  <si>
    <t>We should look at other design simplifications &amp; cost savings during the PD.</t>
  </si>
  <si>
    <t>Already part of the baseline cost not to provide.</t>
  </si>
  <si>
    <t>R&gt;4000</t>
  </si>
  <si>
    <t>R=3000-4000</t>
  </si>
  <si>
    <t>R=3000-4000. Ok.</t>
  </si>
  <si>
    <t>Drives IFU sampling (20 mas at H)</t>
  </si>
  <si>
    <t>&gt;1"x1" IFU</t>
  </si>
  <si>
    <t>If this is our only companion sensitivity requirement could we consider not providiing an IFU?</t>
  </si>
  <si>
    <t>JHK</t>
  </si>
  <si>
    <r>
      <t xml:space="preserve">NIR imager, </t>
    </r>
    <r>
      <rPr>
        <i/>
        <sz val="10"/>
        <rFont val="Arial"/>
        <family val="2"/>
      </rPr>
      <t>NIR IFU</t>
    </r>
  </si>
  <si>
    <t>&gt;30% sky coverage</t>
  </si>
  <si>
    <t>IFU or narrow band filters</t>
  </si>
  <si>
    <t xml:space="preserve">Guide star finder tool.
PSF simulation tool (predict energy and width of central core to within 10%).  </t>
  </si>
  <si>
    <t>PSF calibration</t>
  </si>
  <si>
    <t>I-H bands</t>
  </si>
  <si>
    <t>I-K band</t>
  </si>
  <si>
    <t>Distortion map</t>
  </si>
  <si>
    <t>15" FOV</t>
  </si>
  <si>
    <t>50 mas at J</t>
  </si>
  <si>
    <t>R~5000</t>
  </si>
  <si>
    <t>J-K</t>
  </si>
  <si>
    <t>3" FOV IFU</t>
  </si>
  <si>
    <t>0.7-1.0 um</t>
  </si>
  <si>
    <t>3" FOV</t>
  </si>
  <si>
    <t>0.85-1.0um</t>
  </si>
  <si>
    <t>H&amp;K
R~1000</t>
  </si>
  <si>
    <t>Differential tracking</t>
  </si>
  <si>
    <t>Nyquist</t>
  </si>
  <si>
    <t>30" FOV at K</t>
  </si>
  <si>
    <t>Large IFU</t>
  </si>
  <si>
    <t>R&gt;3000</t>
  </si>
  <si>
    <t>5% sky coverage</t>
  </si>
  <si>
    <t>1x3" IFU</t>
  </si>
  <si>
    <t>0.8-2.4 um imaging
1.0-2.4 um IFU</t>
  </si>
  <si>
    <t>Potentially ~$90k for 2nd tier structure</t>
  </si>
  <si>
    <t>Reduce number of lenslets</t>
  </si>
  <si>
    <t>Cost Savings Groupings</t>
  </si>
  <si>
    <t>1a</t>
  </si>
  <si>
    <t>1b</t>
  </si>
  <si>
    <t xml:space="preserve">$1.453M budgeted for AO non-real time control &amp; $0.777M for laser system control.
EJ estimates ~$74k HW &amp; 1500 hrs.
Inflate to FY12. </t>
  </si>
  <si>
    <t>LGS WFS dof reduced from 62 to 41; laser from 89 to 61; UTT from 9 to 7</t>
  </si>
  <si>
    <t>The above items result in reduced number of devices/stages to control &amp; reduced complexity.
Fewer devices: No d-IFS or IFS DM/TT to control since on-axis.  2 less LGS WFS &amp; UTT mirrors.
Fewer DOF: NGS TWFS (3 dof). LGS WFS (21). Vis imager (5). OSIRIS (1). NGS WFS ADC (3). Laser (36 dof, but need to add 8 missed dof).  Overall this represents 28% of the motion control.</t>
  </si>
  <si>
    <r>
      <t>Not a cost savings item but relevant to thought process: determine if we need windows on MEMS (possibly not if in clean room environment (but how do you handle them in earlier FSD &amp; I&amp;T?). (DG)
1/7/08: Voltage on MEMS with humidity &gt; 40% can damage MEMS.</t>
    </r>
    <r>
      <rPr>
        <sz val="10"/>
        <color indexed="18"/>
        <rFont val="Arial"/>
        <family val="2"/>
      </rPr>
      <t xml:space="preserve">  </t>
    </r>
    <r>
      <rPr>
        <i/>
        <sz val="10"/>
        <color indexed="18"/>
        <rFont val="Arial"/>
        <family val="2"/>
      </rPr>
      <t>Agreed on design change to assume no window on MEMS but will need a requirement on humidity.</t>
    </r>
  </si>
  <si>
    <r>
      <t>Consider no NGS mode or reduced capability (PW). Only limited science cases would use NGS (Io, Titan) instead of LGS.  Would get similar performance for fainter NGS that would get with K1 NGS system. Use other Nas instrument for backup science.
NGS/TWFS assly total $527k (FY08) + SY optics.  Already removed TWFS &amp; ADC ($260k then-year).
1/7/09: Agreed to keep NGS WFS in baseline design.  Also useful for high order calibration of the system (higher order than TWFS). Could be a spare for LGS WFS.</t>
    </r>
    <r>
      <rPr>
        <sz val="10"/>
        <color indexed="18"/>
        <rFont val="Arial"/>
        <family val="2"/>
      </rPr>
      <t xml:space="preserve">
</t>
    </r>
    <r>
      <rPr>
        <i/>
        <sz val="10"/>
        <color indexed="18"/>
        <rFont val="Arial"/>
        <family val="2"/>
      </rPr>
      <t>Consider looking at whether one of the LGS WFS could act as an NGS WFS (would need to add a dichroic changer unless all visible light up to ~ 800 nm available to the LGS WFS).</t>
    </r>
  </si>
  <si>
    <t>Science Fields</t>
  </si>
  <si>
    <t>Narrow &amp; Wide</t>
  </si>
  <si>
    <t>Narrow</t>
  </si>
  <si>
    <t>SDR Design</t>
  </si>
  <si>
    <t>B2C Baseline Design</t>
  </si>
  <si>
    <t>Central LGS Asterism</t>
  </si>
  <si>
    <t>5 variable, 1 fixed</t>
  </si>
  <si>
    <t>4 fixed</t>
  </si>
  <si>
    <t>Laser Location</t>
  </si>
  <si>
    <t>Nasmyth platform</t>
  </si>
  <si>
    <t>Elevation ring</t>
  </si>
  <si>
    <t>Total Power</t>
  </si>
  <si>
    <t>Savings ($M)</t>
  </si>
  <si>
    <t>No multi d-IFS</t>
  </si>
  <si>
    <t>Only narrow field</t>
  </si>
  <si>
    <t>ESO laser proposals</t>
  </si>
  <si>
    <r>
      <t xml:space="preserve">All laser proposals to ESO commit to this requirement.
Removes need for a tracking beam transport system.
Enclosure likely smaller, although complexity of installing on El ring larger. 
</t>
    </r>
    <r>
      <rPr>
        <sz val="10"/>
        <rFont val="Arial"/>
        <family val="2"/>
      </rPr>
      <t>The existing K2 laser enclosure is 1818kg.  The ESO requirement on the allowable weight for a 25W laser is 1000kg; so at least 50W of laser could be handled on a single El ring face. Further analysis would be required to determine if 3 or 4 lasers could be supported on a single El ring face.</t>
    </r>
    <r>
      <rPr>
        <i/>
        <sz val="10"/>
        <color indexed="18"/>
        <rFont val="Arial"/>
        <family val="2"/>
      </rPr>
      <t xml:space="preserve">  </t>
    </r>
    <r>
      <rPr>
        <i/>
        <sz val="10"/>
        <rFont val="Arial"/>
        <family val="2"/>
      </rPr>
      <t xml:space="preserve"> </t>
    </r>
  </si>
  <si>
    <r>
      <t xml:space="preserve">$7.3M (FY08) budgeted for 100W of laser power at SDR.
Assume 15% savings.
Inflated to FY12.
</t>
    </r>
    <r>
      <rPr>
        <sz val="10"/>
        <rFont val="Arial"/>
        <family val="2"/>
      </rPr>
      <t>Evaluation of additional infrastructure cost savings: 
Reuse of the Keck I laser lab hardware provides a savings of $80k in HW &amp; 400h in labor for laser lab I&amp;T.
The original estimate of $75k for pumps &amp; $100k for a chiller for 150W of laser can be reduced by 1/2 for 75W of laser. 
Both of the above should be inflated to FY12.</t>
    </r>
  </si>
  <si>
    <t>Determine if feasible to reuse existing Xinetics DM even if have 30% hysteresis (DG).
1/7/09: Decided to use a new DM as our baseline.  It may be possible to use a lower BW TT stage for the woofer since have the MEMS on TT platforms.  Should evaluated during PD (Telescope TT data in a Neyman KAON).</t>
  </si>
  <si>
    <t>Do not implement the TWFS in the narrow field relay.  
Change the wide field relay TWFS from NIR to visible.</t>
  </si>
  <si>
    <t>Already have a NIR TWFS in the wide field relay &amp; a NGS is more likely to be found in this wider field.
Any static non-common path errors in the narrow field relay will already be calibrated out via image sharpening on the narrow field science instruments.  The only dynamic part is what the narrow field MEMS is doing and this can be known from the commands sent to this MEMs.  Will require some extra work on the operational software side.
The change to vis assumes that visible light is available here.
Confirm that visible light available at LOWFS (DG) &amp; that no significant performance hit (RD).  1/7/09: DG confirms vis light available with new switchyard.  RD does not have a TWFS error budget but is not particularly concerned about a vis TWFS.  During PD need to verify that LOWFS optics transmit 500-1000 nm or could potentially use LOWFS NIR detector also for TWFS.</t>
  </si>
  <si>
    <r>
      <t xml:space="preserve">Preliminary analysis performed for 75 vs 50W of fixed asterism laser power: in worst case (ExoJup science case, 25% seeing) rms wfe increases from 160 to 167nm (J-band SR reduced by 6%).  
Assumes 56 subaps --&gt; Reduces RTC complexity.
Could still use 64x64 MEMS for static error correction based on TWFS.
Relatively easy upgrade back to 100W total &amp; 64 subapertures (64x64 LGS WFS lenslets &amp; RTC changes).
</t>
    </r>
    <r>
      <rPr>
        <i/>
        <sz val="10"/>
        <color indexed="18"/>
        <rFont val="Arial"/>
        <family val="2"/>
      </rPr>
      <t xml:space="preserve">Separately calculate tip/tilt error in mas to evaluate science impact (RD).
</t>
    </r>
    <r>
      <rPr>
        <sz val="10"/>
        <rFont val="Arial"/>
        <family val="2"/>
      </rPr>
      <t>Evaluate if laser return/W would likely change vs power (RD). 1/7/9: SOR data indicates that it is fairly linear from 2W to 40W.</t>
    </r>
    <r>
      <rPr>
        <i/>
        <sz val="10"/>
        <color indexed="18"/>
        <rFont val="Arial"/>
        <family val="2"/>
      </rPr>
      <t xml:space="preserve">
1/7/9: RD also looking at asymmetric 4 beacon fixed asterisms without PNS &amp; will check with Lianqi about sky coverage.</t>
    </r>
  </si>
  <si>
    <t>17.10</t>
  </si>
  <si>
    <t>Cost driver</t>
  </si>
  <si>
    <t>Not met.  Descoped to 1 IFU</t>
  </si>
  <si>
    <t>NIR IFU or d-IFU</t>
  </si>
  <si>
    <t>Vis &amp; NIR imagers, NIR IFU</t>
  </si>
  <si>
    <t>NIR imager</t>
  </si>
  <si>
    <t>Vis &amp; NIR imagers</t>
  </si>
  <si>
    <t>Vis &amp; NIR Imagers, NIR IFU</t>
  </si>
  <si>
    <t>Vis &amp; NIR imagers, NIR IFU or d-IFU</t>
  </si>
  <si>
    <t>Sufficiently high throughput and low emissivity of the AO system science path to achieve this sensitivity.
Background due to emissivity less than 30% of unattenuated (sky + tel).</t>
  </si>
  <si>
    <t>NIR imager, NIR IFU</t>
  </si>
  <si>
    <t>9a</t>
  </si>
  <si>
    <t>Distance galaxies lensed by clusters - imaging studies</t>
  </si>
  <si>
    <t>9b</t>
  </si>
  <si>
    <t>Distant galaxies lensed by clusters - spectroscopic studies</t>
  </si>
  <si>
    <t>Astrometry science in sparse fields</t>
  </si>
  <si>
    <t>Resolved stellar populations in crowded fields</t>
  </si>
  <si>
    <t>Debris disks</t>
  </si>
  <si>
    <t>Young stellar objects</t>
  </si>
  <si>
    <t>Infrared imager and IFUs designed for J, H, and K. Each entire wavelength band should be observable in one exposure.</t>
  </si>
  <si>
    <t>z&amp;Y could drive dichroic choices</t>
  </si>
  <si>
    <t>NIR imager, NIR IFU or d-IFU</t>
  </si>
  <si>
    <t>High redshift galaxies</t>
  </si>
  <si>
    <t>Change to goal</t>
  </si>
  <si>
    <t>170 nm wfe</t>
  </si>
  <si>
    <t>50% EE in 70 mas</t>
  </si>
  <si>
    <t>1"x3" IFU</t>
  </si>
  <si>
    <t>30% sky coverage</t>
  </si>
  <si>
    <t>Calibrated data cubes</t>
  </si>
  <si>
    <t>0.85-2.4 um</t>
  </si>
  <si>
    <t>Sampling?</t>
  </si>
  <si>
    <t>FOV?</t>
  </si>
  <si>
    <t>0.1 mas astrometry</t>
  </si>
  <si>
    <t>10" FOV</t>
  </si>
  <si>
    <t>Calibrated PSF</t>
  </si>
  <si>
    <t>$60k for coronagraph hardware</t>
  </si>
  <si>
    <t>Reduce visible imager detector to 2kx2k</t>
  </si>
  <si>
    <t>4kx4k in current cost estimate.  Science does not require this large a field.</t>
  </si>
  <si>
    <t>$300k for 4kx4k LBNL</t>
  </si>
  <si>
    <t>Don't provide a visible IFU</t>
  </si>
  <si>
    <t>Idea</t>
  </si>
  <si>
    <t>Cost Savings</t>
  </si>
  <si>
    <t>ID #</t>
  </si>
  <si>
    <t>Refine laser cost estimate</t>
  </si>
  <si>
    <t>Current Estimate</t>
  </si>
  <si>
    <t>$5.7M for two 50W lasers plus $0.3M in labor &amp; $1.2M in contingency</t>
  </si>
  <si>
    <t>TBD. May be able to reduce cost estimate &amp; contingency</t>
  </si>
  <si>
    <t>Reduce laser power requirement to 75W</t>
  </si>
  <si>
    <t>Assume laser on elevation moving part of telescope</t>
  </si>
  <si>
    <t>Reduce the number of laser beacons</t>
  </si>
  <si>
    <t>Assume a fixed central laser asterism &amp; only 3 moving beacons</t>
  </si>
  <si>
    <t>Procure &amp; implement the top-end laser launch facility in FY10</t>
  </si>
  <si>
    <t>Discussion</t>
  </si>
  <si>
    <t>We are collaborating with ESO, TMT &amp; GMT to insure the lasers we will need will be available when needed.  ESO has received five vendor bids to develop laser preliminary designs and 2 to 3 will be funded yielding designs &amp; fixed price quotes by the end of CY09.  This strongly leverages our dollars &amp; reduces risk.</t>
  </si>
  <si>
    <t>Con: Reduced performance</t>
  </si>
  <si>
    <t>Pro: Reduces complexity
Con: Reduces flexibility</t>
  </si>
  <si>
    <t>Basis of an MRI proposal that is being considered.  
Pro: Early procurement reduces then-year $.
Con: Some risk associated with procurement prior to final design</t>
  </si>
  <si>
    <t>Do not implement OSIRIS with NGAO</t>
  </si>
  <si>
    <t>Implement OSIRIS in the f/15 beam after the 1st relay</t>
  </si>
  <si>
    <t xml:space="preserve">$0.15M for OSIRIS mods excluding infrastructure in AO enclosure &amp; I&amp;T </t>
  </si>
  <si>
    <t>Con: OSIRIS offers an early instrument capability</t>
  </si>
  <si>
    <t xml:space="preserve">Space potentially available if d-IFS not in this location.
Pro: No need for reimaging optics.  </t>
  </si>
  <si>
    <t>Implement a single NIR IFU instead of the deployable multi-IFU</t>
  </si>
  <si>
    <t>$14M for deployable multi-IFU in FY06 $</t>
  </si>
  <si>
    <t>Single relay instead of cascaded relay</t>
  </si>
  <si>
    <t>See KAON 628</t>
  </si>
  <si>
    <t>None</t>
  </si>
  <si>
    <t>No coronagraph in visible imager</t>
  </si>
  <si>
    <t>Not required to meet reduced companion sensitivity requirements</t>
  </si>
  <si>
    <t>Minimize the volume to be refrigerated</t>
  </si>
  <si>
    <t>$0.77M in FY08 $ including contingency, excluding the effort to implement this large of a refrigeration unit</t>
  </si>
  <si>
    <t>Only the science path optics to the IR instruments need to be cold.  Development &amp; operational cost savings could result from having as many of the other elements as possible at ambient temperature at the cost of interface flanges for the instruments and potentially windows for other elements.  Having the LGS WFS unit at ambient temperature would be particularly advantageous.  Potentially allows the reuse of some of the existing AO enclosure.</t>
  </si>
  <si>
    <t>Reduce the number of LGS WFS units</t>
  </si>
  <si>
    <t>This is a byproduct of reducing the number of LGS</t>
  </si>
  <si>
    <t>Reduce the number of deployable LGS WFS units</t>
  </si>
  <si>
    <t>This is a byproduct of reducing the number of movable LGS</t>
  </si>
  <si>
    <t>Do not refrigerate the LGS WFS</t>
  </si>
  <si>
    <t>$3.0M in FY08 $ for the LGS WFS assembly</t>
  </si>
  <si>
    <t>Reduce the number of LGS WFS lenslets</t>
  </si>
  <si>
    <t>Reduce the number of LGS WFS subapertures</t>
  </si>
  <si>
    <t>This is a byproduct of reducing the number of real-time controlled subapertures.</t>
  </si>
  <si>
    <t>Con: Reduced flexibility for different conditions</t>
  </si>
  <si>
    <t>Collaborate on the LOWFS assembly to reduce cost</t>
  </si>
  <si>
    <t>$2.29M in FY08 $ including contingency &amp; excluding risk mitigation</t>
  </si>
  <si>
    <t>Total =</t>
  </si>
  <si>
    <t>Trips</t>
  </si>
  <si>
    <t>Total</t>
  </si>
  <si>
    <t>Non-labor</t>
  </si>
  <si>
    <t>Conting</t>
  </si>
  <si>
    <t>Management</t>
  </si>
  <si>
    <t>Labor</t>
  </si>
  <si>
    <t>$k</t>
  </si>
  <si>
    <t>% of NGAO</t>
  </si>
  <si>
    <t>hrs</t>
  </si>
  <si>
    <t>PY</t>
  </si>
  <si>
    <t>Travel</t>
  </si>
  <si>
    <t>Planning</t>
  </si>
  <si>
    <t>Project Management &amp; Meetings</t>
  </si>
  <si>
    <t>Tracking &amp; Reporting</t>
  </si>
  <si>
    <t>Proposals &amp; Fundraising</t>
  </si>
  <si>
    <t>Programmatic Risk Assessment &amp; Mitigation</t>
  </si>
  <si>
    <t>Project Reviews</t>
  </si>
  <si>
    <t>Project Support</t>
  </si>
  <si>
    <t>Systems Engineering</t>
  </si>
  <si>
    <t>Science Case Development</t>
  </si>
  <si>
    <t>3.1.1</t>
  </si>
  <si>
    <t>Science Requirements</t>
  </si>
  <si>
    <t>3.1.2</t>
  </si>
  <si>
    <t>Science Observing Planning and Execution</t>
  </si>
  <si>
    <t>3.1.3</t>
  </si>
  <si>
    <t>Science Input to Other WBS Elements Affecting Science Performance</t>
  </si>
  <si>
    <t>3.1.4</t>
  </si>
  <si>
    <t>Science Competitiveness</t>
  </si>
  <si>
    <t>3.1.5</t>
  </si>
  <si>
    <t>User Community Liason</t>
  </si>
  <si>
    <t>3.1.6</t>
  </si>
  <si>
    <t>Science Advisory Team Meetings</t>
  </si>
  <si>
    <t>Requirements</t>
  </si>
  <si>
    <t>Systems Engineering Analysis</t>
  </si>
  <si>
    <t>3.3.1</t>
  </si>
  <si>
    <t>Performance Budgets</t>
  </si>
  <si>
    <t>3.3.2</t>
  </si>
  <si>
    <t>Modeling &amp; Analysis</t>
  </si>
  <si>
    <t>3.3.3</t>
  </si>
  <si>
    <t>PSF Calibration</t>
  </si>
  <si>
    <t>System Architecture</t>
  </si>
  <si>
    <t>3.4.1</t>
  </si>
  <si>
    <t>System Hardware Architecture</t>
  </si>
  <si>
    <t>3.4.2</t>
  </si>
  <si>
    <t>Motion Control / Electronics Architecture</t>
  </si>
  <si>
    <t>3.4.3</t>
  </si>
  <si>
    <t>System Software Architecture</t>
  </si>
  <si>
    <t>3.4.4</t>
  </si>
  <si>
    <t>Operations Sequences Architecture</t>
  </si>
  <si>
    <t>External Interface Control</t>
  </si>
  <si>
    <t>Internal Interface Control</t>
  </si>
  <si>
    <t>Configuration Management</t>
  </si>
  <si>
    <t>Documentation Control</t>
  </si>
  <si>
    <t>Technical Risk Assessment &amp; Mitigation</t>
  </si>
  <si>
    <t>3.10</t>
  </si>
  <si>
    <t>System Manual</t>
  </si>
  <si>
    <t>AO System Development</t>
  </si>
  <si>
    <t>AO Enclosure</t>
  </si>
  <si>
    <t>Optomechanical</t>
  </si>
  <si>
    <t>4.2.1</t>
  </si>
  <si>
    <t>AO Support Structure</t>
  </si>
  <si>
    <t>4.2.2</t>
  </si>
  <si>
    <t>Rotator</t>
  </si>
  <si>
    <t>4.2.3</t>
  </si>
  <si>
    <t>Optical Relays</t>
  </si>
  <si>
    <t>4.2.4</t>
  </si>
  <si>
    <t>Optical Switchyard</t>
  </si>
  <si>
    <t>4.2.5</t>
  </si>
  <si>
    <t>LGS Wavefront Sensor Assembly</t>
  </si>
  <si>
    <t>4.2.6</t>
  </si>
  <si>
    <t>NGS WFS / TWFS Assembly</t>
  </si>
  <si>
    <t>4.2.7</t>
  </si>
  <si>
    <t>Low Order Wavefront Sensor Assembly</t>
  </si>
  <si>
    <t>4.2.8</t>
  </si>
  <si>
    <t>Tip/Tilt Vibration Mitigation</t>
  </si>
  <si>
    <t>4.2.9</t>
  </si>
  <si>
    <t>Acquisition Cameras</t>
  </si>
  <si>
    <t>4.2.10</t>
  </si>
  <si>
    <t>Atmospheric Dispersion Correctors</t>
  </si>
  <si>
    <t>Alignment, Calibration, and Diagnostics</t>
  </si>
  <si>
    <t>4.3.1</t>
  </si>
  <si>
    <t>Simulator</t>
  </si>
  <si>
    <t>4.3.2</t>
  </si>
  <si>
    <t>System Alignment Tools</t>
  </si>
  <si>
    <t>4.3.3</t>
  </si>
  <si>
    <t>Atmospheric Profiler</t>
  </si>
  <si>
    <t>Non-real-time Control</t>
  </si>
  <si>
    <t>4.4.1</t>
  </si>
  <si>
    <t>AO Controls Infrastructure</t>
  </si>
  <si>
    <t>4.4.2</t>
  </si>
  <si>
    <t>AO Sequencer</t>
  </si>
  <si>
    <t>4.4.3</t>
  </si>
  <si>
    <t>Motion Control SW</t>
  </si>
  <si>
    <t>4.4.4</t>
  </si>
  <si>
    <t>Device Control SW</t>
  </si>
  <si>
    <t>4.4.5</t>
  </si>
  <si>
    <t>Motion Control Electronics</t>
  </si>
  <si>
    <t>4.4.6</t>
  </si>
  <si>
    <t>Non-RTC Electronics</t>
  </si>
  <si>
    <t>4.4.7</t>
  </si>
  <si>
    <t>Lab I&amp;T System</t>
  </si>
  <si>
    <t>4.4.8</t>
  </si>
  <si>
    <t>Acquisition, Guiding, and Offloading Control</t>
  </si>
  <si>
    <t>Real-time Control</t>
  </si>
  <si>
    <t>4.5.1</t>
  </si>
  <si>
    <t>Real-time Control Processor</t>
  </si>
  <si>
    <t>4.5.2</t>
  </si>
  <si>
    <t>DM's and Tip/Tilt Stages</t>
  </si>
  <si>
    <t>AO System Lab I&amp;T</t>
  </si>
  <si>
    <t>Laser System Development</t>
  </si>
  <si>
    <t>Laser Enclosure</t>
  </si>
  <si>
    <t>Laser</t>
  </si>
  <si>
    <t>Laser Launch Facility</t>
  </si>
  <si>
    <t>Laser Safety Systems</t>
  </si>
  <si>
    <t>Laser System Control</t>
  </si>
  <si>
    <t>Laser System Lab I&amp;T</t>
  </si>
  <si>
    <t>Science Operations</t>
  </si>
  <si>
    <t>Multi-System Command Sequencer</t>
  </si>
  <si>
    <t>6.1.1</t>
  </si>
  <si>
    <t>Sequencer Infrastructure</t>
  </si>
  <si>
    <t>6.1.2</t>
  </si>
  <si>
    <t>Setup Sequences: Configurations &amp; Calibrations</t>
  </si>
  <si>
    <t>6.1.3</t>
  </si>
  <si>
    <t>Observing Sequences</t>
  </si>
  <si>
    <t>6.1.4</t>
  </si>
  <si>
    <t>System Health and Troubleshooting</t>
  </si>
  <si>
    <t>User Interfaces</t>
  </si>
  <si>
    <t>6.2.1</t>
  </si>
  <si>
    <t>User Interface Infrastructure</t>
  </si>
  <si>
    <t>6.2.2</t>
  </si>
  <si>
    <t>Setup Operations: Configuration, Calibrations</t>
  </si>
  <si>
    <t>6.2.3</t>
  </si>
  <si>
    <t>Observations User Interfaces for operator, observer, specialist</t>
  </si>
  <si>
    <t>Pre- &amp; Post-Observing Support</t>
  </si>
  <si>
    <t>6.3.1</t>
  </si>
  <si>
    <t>Users' Documentation</t>
  </si>
  <si>
    <t>6.3.2</t>
  </si>
  <si>
    <t>Planning Tools</t>
  </si>
  <si>
    <t>6.3.3</t>
  </si>
  <si>
    <t>Data Products</t>
  </si>
  <si>
    <t>Data Server</t>
  </si>
  <si>
    <t>Telescope &amp; Summit Engineering</t>
  </si>
  <si>
    <t>Telescope Performance</t>
  </si>
  <si>
    <t>Infrastructure Mods for AO</t>
  </si>
  <si>
    <t>Infrastructure Mods for Laser</t>
  </si>
  <si>
    <t>OSIRIS Modifications</t>
  </si>
  <si>
    <t>Interferometer and OHANA Mods</t>
  </si>
  <si>
    <t>Telescope Integration &amp; Test</t>
  </si>
  <si>
    <t>Old AO/Laser Removal</t>
  </si>
  <si>
    <t>Laser Enclosure Integration</t>
  </si>
  <si>
    <t>AO  Enclosure Integration</t>
  </si>
  <si>
    <t>AO System Install + I&amp;T</t>
  </si>
  <si>
    <t>Laser System Install + I&amp;T</t>
  </si>
  <si>
    <t>LGS AO System On-sky I&amp;T</t>
  </si>
  <si>
    <t>Performance Characterization</t>
  </si>
  <si>
    <t>Science Verification</t>
  </si>
  <si>
    <t>Operations Transition</t>
  </si>
  <si>
    <t>Operations Plans</t>
  </si>
  <si>
    <t>Operations Handover</t>
  </si>
  <si>
    <t>9.2.1</t>
  </si>
  <si>
    <t>Operations Personnel Training</t>
  </si>
  <si>
    <t>9.2.2</t>
  </si>
  <si>
    <t>Documentation &amp; Spares Transition</t>
  </si>
  <si>
    <t>TMT has similar needs.  COO has put in a relevant proposal for a robotic AO telescope.</t>
  </si>
  <si>
    <t>Reduce the number of degrees of freedom to be controlled</t>
  </si>
  <si>
    <t>This is tied to multiple other elements</t>
  </si>
  <si>
    <t>$1.45M in FY08 $ including contingency &amp; excluding system I&amp;T</t>
  </si>
  <si>
    <t>Reduce the number of degrees of freedom to be input &amp; controlled by the RTC</t>
  </si>
  <si>
    <t>The complexity of the system is directly scalable to the number of degrees of freedom</t>
  </si>
  <si>
    <t>Revisit the need for ADCs in the LOWFS</t>
  </si>
  <si>
    <t>Exploit commonalities between instruments &amp; with NGAO</t>
  </si>
  <si>
    <t>Exploit controls commonalities between instruments &amp; NGAO</t>
  </si>
  <si>
    <t>Upgrade existing Keck AO system</t>
  </si>
  <si>
    <t>Put NGAO on K1 instead of K2</t>
  </si>
  <si>
    <t>Revisit single level optical relay option</t>
  </si>
  <si>
    <t>Reduce the field size from 150" diameter to ?</t>
  </si>
  <si>
    <t>Reduce the number of subapertures from 64 to 48 or 40</t>
  </si>
  <si>
    <t>Don't implement a visible imager</t>
  </si>
  <si>
    <t xml:space="preserve">The NIR imager may be able to provide some capability at wavelengths down to ~ 800 nm.  </t>
  </si>
  <si>
    <t>Only provide one TWFS</t>
  </si>
  <si>
    <t>Reduce the capabilities of the NGS WFS</t>
  </si>
  <si>
    <t>At least one of the pros of the two-level approach (MCAO-upgrade path) could potentially be discounted.</t>
  </si>
  <si>
    <t>See KAON 500 &amp; 502.</t>
  </si>
  <si>
    <t>Reuse of launch telescope &amp; laser enclosure at minimum</t>
  </si>
  <si>
    <t>Optics in first relay scale with the field size</t>
  </si>
  <si>
    <t>Mechanical Engineering</t>
  </si>
  <si>
    <t>Optical Engineering</t>
  </si>
  <si>
    <t>Electrical Engineering</t>
  </si>
  <si>
    <t>Software Engineering</t>
  </si>
  <si>
    <t>Other (management, technical staff)</t>
  </si>
  <si>
    <t>Procurements</t>
  </si>
  <si>
    <t>Equipment and Fabrications</t>
  </si>
  <si>
    <t>Misc. Supplies and Meeting Costs</t>
  </si>
  <si>
    <t>Notes</t>
  </si>
  <si>
    <t>Expenses</t>
  </si>
  <si>
    <t>Hours</t>
  </si>
  <si>
    <t>Cost</t>
  </si>
  <si>
    <t>1.  Labor cost based on a blended WMKO/mainland rate of $60 per hour in FY08.</t>
  </si>
  <si>
    <t>1,2</t>
  </si>
  <si>
    <t>Project Total</t>
  </si>
  <si>
    <t>Technicians</t>
  </si>
  <si>
    <t>Fringe Benefits</t>
  </si>
  <si>
    <t>Total Non-Labor Costs</t>
  </si>
  <si>
    <t>Calendar 2009</t>
  </si>
  <si>
    <t>Project Phase</t>
  </si>
  <si>
    <t>PD</t>
  </si>
  <si>
    <t>DD</t>
  </si>
  <si>
    <t>Calendar 2010</t>
  </si>
  <si>
    <t>Calendar 2011</t>
  </si>
  <si>
    <t>Calendar 2012</t>
  </si>
  <si>
    <t>Calendar 2013 (delivery to NGAO 4/5/13)</t>
  </si>
  <si>
    <t>FSD</t>
  </si>
  <si>
    <t>Total Salaries and Wages</t>
  </si>
  <si>
    <t>Total Salaries, Wages and Fringe Benefits</t>
  </si>
  <si>
    <t>Equipment and Fabrication Estimate</t>
  </si>
  <si>
    <t>hours</t>
  </si>
  <si>
    <t>Support Astronomer/Project Scientist</t>
  </si>
  <si>
    <t>3.  Labor cost based on a WMKO rate of $57 per hour in FY08, assume academic appointment (zero cost) for other science participation.</t>
  </si>
  <si>
    <t>4.  Management labor cost based on a WMKO senior management rate of $65 per hour in FY08</t>
  </si>
  <si>
    <t>5. Technician labor cost based on a blended WMKO/mainland rate of $35 per hour in FY08.</t>
  </si>
  <si>
    <t>6.  Benefits at 30% rate.</t>
  </si>
  <si>
    <t>1  FTE</t>
  </si>
  <si>
    <t>FY08 rates (see notes)</t>
  </si>
  <si>
    <t>inflation</t>
  </si>
  <si>
    <t>% per annum</t>
  </si>
  <si>
    <t>Totals</t>
  </si>
  <si>
    <t>Dewar</t>
  </si>
  <si>
    <t>Optics</t>
  </si>
  <si>
    <t>Structure and shell</t>
  </si>
  <si>
    <t>Filter wheel</t>
  </si>
  <si>
    <t>Coronagraph</t>
  </si>
  <si>
    <t>Detector (Hawaii-2RG)</t>
  </si>
  <si>
    <t>Electronics</t>
  </si>
  <si>
    <t>Motion control</t>
  </si>
  <si>
    <t>Temperature and vacuum</t>
  </si>
  <si>
    <t>Pulse tube cooler</t>
  </si>
  <si>
    <t>Detector target computer</t>
  </si>
  <si>
    <t>Host computer</t>
  </si>
  <si>
    <t>Cables and interconnects</t>
  </si>
  <si>
    <t>Power control</t>
  </si>
  <si>
    <t>Enclosure</t>
  </si>
  <si>
    <t>7.  Inflation applied at 4% per year.</t>
  </si>
  <si>
    <t>Structure</t>
  </si>
  <si>
    <t>Detector (LBNL 4K x 4K)</t>
  </si>
  <si>
    <t>Detector dewar</t>
  </si>
  <si>
    <t>Cryotiger cooler</t>
  </si>
  <si>
    <t>$3.45M in ~ then-year $</t>
  </si>
  <si>
    <t>Multiple (6-12) IFUs, deployable on the 5 square arc minute field of regard</t>
  </si>
  <si>
    <t>Spectral resolution of &gt;3000 in IFUs</t>
  </si>
  <si>
    <t>Wavefront error 170 nm or better</t>
  </si>
  <si>
    <t>Nyquist sampled pixels at each wavelength</t>
  </si>
  <si>
    <t>Wavefront error sufficiently low (~170 nm) to achieve the stated requirement in J, H, and K bands.</t>
  </si>
  <si>
    <t>IFU spaxel size: either 35 or 70 mas, to be determined during the design study for the multiplexed IFU spectrograph</t>
  </si>
  <si>
    <t>Velocity determined to ≤ 20 km/sec for spatial resolutions of 70 mas</t>
  </si>
  <si>
    <t xml:space="preserve">PSF intensity distribution known to ≤ 10% per spectral channel.  </t>
  </si>
  <si>
    <t xml:space="preserve">Each MOAO IFU channel passes a 1”x3” field.  </t>
  </si>
  <si>
    <t>Each IFU unit’s field of view is 1” x 3”</t>
  </si>
  <si>
    <t>See #1.8</t>
  </si>
  <si>
    <t>Relative photometry to ≤ 5% for observations during a single night</t>
  </si>
  <si>
    <t>Knowledge of ensquared energy in IFU spaxel to 5%. Telemetry system that monitors tip/tilt star Strehl and other real-time data to estimate the EE vs. time, or other equivalent method to determine PSF to the required accuracy.</t>
  </si>
  <si>
    <t>Infrared tip/tilt sensors with AO correction of tip/tilt stars</t>
  </si>
  <si>
    <t>Should be able to center a galaxy to ≤ 10% of science field of view</t>
  </si>
  <si>
    <t>Should know the relative position of the galaxy to ≤ 20% of spaxel size</t>
  </si>
  <si>
    <t>Target drift should be ≤ 10% of spaxel size in 1 hr</t>
  </si>
  <si>
    <t>The following observing preparation tools are required: PSF simulation and exposure time calculator</t>
  </si>
  <si>
    <t>The following data products are required: calibrated spectral data cube</t>
  </si>
  <si>
    <t>#</t>
  </si>
  <si>
    <t>Science Performance Requirement</t>
  </si>
  <si>
    <t>AO Derived Requirements</t>
  </si>
  <si>
    <t>Instrument Requirements</t>
  </si>
  <si>
    <r>
      <t>Sensitivity</t>
    </r>
    <r>
      <rPr>
        <sz val="12"/>
        <rFont val="Times New Roman"/>
        <family val="1"/>
      </rPr>
      <t>. SNR ≥ 10 for a z = 2.6 galaxy in an integration time ≤ 3 hours for a spectral resolution R = 3500 with a spatial resolution of 70 mas
[SCRD §2.1.4]</t>
    </r>
  </si>
  <si>
    <r>
      <t xml:space="preserve">Multi-object AO system: one DM per arm, </t>
    </r>
    <r>
      <rPr>
        <i/>
        <sz val="12"/>
        <rFont val="Times New Roman"/>
        <family val="1"/>
      </rPr>
      <t>or</t>
    </r>
    <r>
      <rPr>
        <sz val="12"/>
        <rFont val="Times New Roman"/>
        <family val="1"/>
      </rPr>
      <t xml:space="preserve"> an upstream MCAO system correcting the entire field of regard.
6-12 arms on 5 square arc minutes patrol field.</t>
    </r>
  </si>
  <si>
    <r>
      <t>Target sample size</t>
    </r>
    <r>
      <rPr>
        <sz val="12"/>
        <rFont val="Times New Roman"/>
        <family val="1"/>
      </rPr>
      <t xml:space="preserve"> of ≥ 200 galaxies in ≤ 3 years (assuming a target density of 4 galaxies per square arcmin)
[SCRD §2.1.3]</t>
    </r>
  </si>
  <si>
    <t>Spectroscopic &amp; imaging observing wavelengths = J,H &amp; K (to 2.4mm).
z&amp;Y are of interest as well; the importance of including these bands is being assessed.
[SCRD §2.1.4, §2.1.5.3]</t>
  </si>
  <si>
    <t>AO system must transmit J, H, and K bands</t>
  </si>
  <si>
    <t>Narrow field imaging: diffraction limited at J, H, K
[SCRD §2.1.5.3]</t>
  </si>
  <si>
    <t>Spectral resolution = 3000 to 4000
[SCRD §2.1.5.1, §2.1.5.3]</t>
  </si>
  <si>
    <t>Encircled energy at least 50% in 70 mas for sky coverage of 30% (see 1.11)
[SCRD §2.1.5.2]</t>
  </si>
  <si>
    <t>IFU field of view ≥ 1” x 3” in order to allow sky background measurement at same time as observing a ~1” galaxy
[SCRD §2.1.5.1]</t>
  </si>
  <si>
    <t>Simultaneous sky background measurements within a radius of 3” with the same field of view as the science field
[SCRD §2.1.5.1]</t>
  </si>
  <si>
    <t>1.10</t>
  </si>
  <si>
    <t>Sky coverage ≥30% at 170 nm wavefront error, to overlap with data sets from other instruments and telescopes [SCRD §2.1.5.2]</t>
  </si>
  <si>
    <t>The following data products are required: calibrated spectral data cube [SCRD §2.1.5.3]</t>
  </si>
  <si>
    <t>Sufficiently high throughput and low emissivity of the AO system science path to achieve this sensitivity.
Background due to emissivity less than 30% of unattenuated (sky + telescope). [SCRD §2.1.5.1 and SCRD Figure 1]</t>
  </si>
  <si>
    <t>Nearby AGNs</t>
  </si>
  <si>
    <t>Number of targets required: to be specified in future versions of the SCRD</t>
  </si>
  <si>
    <t>50% enclosed energy radius &lt; ½ gravitational sphere of influence. Wavefront error requirement to be specified in future versions of this document.</t>
  </si>
  <si>
    <t>Spectral and imaging pixels/spaxels &lt; ½ gravitational sphere of influence (in the spatial dimension)</t>
  </si>
  <si>
    <t>Will need to get sky background measurement as efficiently as possible.  For IR, consider using a separate d-IFU on the sky.</t>
  </si>
  <si>
    <t>PSF stability and knowledge requirements will be discussed in future releases of the SCRD</t>
  </si>
  <si>
    <t>Spectral resolution R ~ 3000-4000 with at least two pixels per resolution element; detector limited SNR performance. Spatial sampling at least two resolution elements across the gravitational sphere of influence</t>
  </si>
  <si>
    <t>Required observation planning tools: PSF simulation tools to plan for observations of Seyfert 1 galaxies which have strong central point sources</t>
  </si>
  <si>
    <t>Required data reduction pipeline for IFU</t>
  </si>
  <si>
    <t>Number of targets required: to be specified in future versions of the SCRD [SCRD §2.2.3]</t>
  </si>
  <si>
    <t>Required wavelength range 0.85 – 2.4 microns [SCRD §2.2.3]</t>
  </si>
  <si>
    <t>Required spatial sampling at least two resolution elements across gravitational sphere of influence. [SCRD §2.2.2]</t>
  </si>
  <si>
    <t>Required field of view for both spectroscopy and imaging &gt; 10 radii of the gravitational sphere of influence. [e.g., SCRD §2.2.4 Figure 3]</t>
  </si>
  <si>
    <t>Required SNR for spatially resolved spectroscopy of the central black hole region using stellar velocities &gt; 30 per resolution element [SCRD §2.2.3]</t>
  </si>
  <si>
    <t>3a.1</t>
  </si>
  <si>
    <t>3a.2</t>
  </si>
  <si>
    <t>Transmit H and K band to science instrument</t>
  </si>
  <si>
    <t>3a.3</t>
  </si>
  <si>
    <t>Science path shall allow an unvignetted 10” x 10” field.</t>
  </si>
  <si>
    <t>3a.4</t>
  </si>
  <si>
    <t>3a.5</t>
  </si>
  <si>
    <t>The following observing preparation tools are required: PSF simulation as function of wavelength and seeing conditions, exposure time calculator.</t>
  </si>
  <si>
    <t>3a.6</t>
  </si>
  <si>
    <r>
      <t>Astrometric</t>
    </r>
    <r>
      <rPr>
        <sz val="12"/>
        <rFont val="Times New Roman"/>
        <family val="1"/>
      </rPr>
      <t xml:space="preserve"> accuracy ≤ 100 µas for objects ≤ 5” from the Galactic Center [SCRD §2.3.8.1]</t>
    </r>
  </si>
  <si>
    <t>Nyquist sampling at H and K. 
Instrument distortion characterized and stable to ≤ 100 µas.</t>
  </si>
  <si>
    <t>High Strehl to reduce confusion limit: rms wavefront error ≤ 170 nm at G.C.
IR tip/tilt sensors.
Means of aligning and measuring position of tip-tilt sensors so that they permit astrometric accuracy of ≤ 100 µas.
Means of preventing WFS-blind field-distortion modes (if multi-DMs are in series).
Will require ADC.  Need astrometric error budget in order to determine ADC requirements.</t>
  </si>
  <si>
    <t>Observing wavelengths: H and K-band [SCRD §2.3.9]</t>
  </si>
  <si>
    <t>Field of view ≥ 10” x 10” for imaging [SCRD §2.3.9]</t>
  </si>
  <si>
    <r>
      <t xml:space="preserve">Ability to construct 40’x40” mosaic to tie to radio astrometric reference frame [SCRD §2.3.5] </t>
    </r>
    <r>
      <rPr>
        <i/>
        <sz val="12"/>
        <rFont val="Times New Roman"/>
        <family val="1"/>
      </rPr>
      <t>Required accuracy needs to be determined</t>
    </r>
  </si>
  <si>
    <t>The following data products are required:
Calibrated PSF, data reduction pipeline, accurate distortion map (see 3a.1)
[SCRD §2.3.5]</t>
  </si>
  <si>
    <t>GR effects in the Galactic Center - Astrometry</t>
  </si>
  <si>
    <t>3a</t>
  </si>
  <si>
    <t>3b</t>
  </si>
  <si>
    <t>GR effects in the Galactic Center - Radial Velocities</t>
  </si>
  <si>
    <t>3b.1</t>
  </si>
  <si>
    <t>3b.2</t>
  </si>
  <si>
    <t>Transmit H, K band to science instrument</t>
  </si>
  <si>
    <t>3b.3</t>
  </si>
  <si>
    <t>20 and 35 mas spaxel scales at H and K respectively</t>
  </si>
  <si>
    <t>3b.4</t>
  </si>
  <si>
    <t>Field of view ≥ 1” x 1”</t>
  </si>
  <si>
    <t>3b.5</t>
  </si>
  <si>
    <t>3b.6</t>
  </si>
  <si>
    <t>170nm wavefront error at G.C.
PSF estimation sufficient to measure a radial velocity to 10 km/sec.
[suggestions from SCRD §2.3.8.2]</t>
  </si>
  <si>
    <t>Spectral resolution ≥ 4000
Calibration of one IFU relative to other ones sufficient to permit 10 km/sec radial velocity measurement</t>
  </si>
  <si>
    <r>
      <t>Radial velocity</t>
    </r>
    <r>
      <rPr>
        <sz val="12"/>
        <rFont val="Times New Roman"/>
        <family val="1"/>
      </rPr>
      <t xml:space="preserve"> accuracy ≤ 10 km/sec for objects ≤ 5” from the Galactic Center [SCRD §2.3.8.2]</t>
    </r>
  </si>
  <si>
    <t>Observing wavelengths H, K-band [SCRD §2.3.6]</t>
  </si>
  <si>
    <t>Spatial sampling ≤  20 mas (H) or 35 mas (K) to control confusion within IFU field of view [SCRD §2.3.6]</t>
  </si>
  <si>
    <t>Field of view ≥ 1” x 1” [SCRD §2.3.6]</t>
  </si>
  <si>
    <t>The following data products are required: IFU pipeline for wavelength/flux calibration [SCRD §2.3.6]</t>
  </si>
  <si>
    <t>Planets around Low Mass Stars</t>
  </si>
  <si>
    <t>Observe 20 targets per night (each with e.g. 20 min integration time).  Guide on a tip-tilt star with H=14.  Talk to Mike Liu re guide star magnitude.</t>
  </si>
  <si>
    <t>Should proceed with MRI proposal to allow us to implement the launch facility early, but shouldn't count on cost savings.</t>
  </si>
  <si>
    <t>$75k for PSF monitor DM &amp; $20k for TT mechanism on TWFS.
Include 25% contingency.
Inflate to FY12</t>
  </si>
  <si>
    <t>Fewer devices &amp; controlled degrees of freedom</t>
  </si>
  <si>
    <t>Reduced RTC complexity</t>
  </si>
  <si>
    <t>No d-IFS MEMS/TT to control.
48x48 instead of 64x64 subapertures.
2 fewer LGS WFS &amp; UTT.
Scale of problem reduced from 9x64x64x(9x32x32) to 7x48x48x(3x32x32) for IFS science or a factor of 7.
Scale reduced from 9x64x64x(3x32x32+64x64) to 7x48x48x(3x32x32+48x48) for narrow field science or a factor of 3.</t>
  </si>
  <si>
    <t>Fix the central four LGS beacons</t>
  </si>
  <si>
    <t>During FSD ~$40k hardware budgeted per beam transport channel.
During FSD ~$170k budgeted for the hardware for each LGS WFS + 209k for total labor + $804k contingency (total of $2632k).
Assume can save the hardware cost + 25% contingency.
Inflated to FY12.</t>
  </si>
  <si>
    <t>During FSD ~$40k hardware budgeted per beam transport channel.  Assume can save 1/2 of this.
During FSD ~$33k budgeted for the OSM hardware for each LGS WFS + 209k for total labor + $804k contingency (total of $2632k). Assume can save the hardware cost.
Assume can save 25% contingency.
Inflated to FY12.</t>
  </si>
  <si>
    <t>Should continue with laser vendor preliminary designs to reduce laser cost uncertainty.</t>
  </si>
  <si>
    <t>Reduce $40k hardware budgeted per beam tranport channel by 50% (add 25% contingency)
Reduce $117k budgeted for launch facility during FSD by 10%.
Remove $50k for beam transport design (add 25% contingency).
Remove $50k for telescope I&amp;T (add 25% contingency).
Inflated to FY12</t>
  </si>
  <si>
    <t>$769k budget for AO enclosure &amp; $926k for infrastructure mods for AO.
WAG = $150k less for enclosure, $150k less for mods &amp; $50k less for LGS WFS.
Inflated to FY12</t>
  </si>
  <si>
    <t>The absence of the d-IFS makes this more feasible.  Could identify the fixed asterism which best optimizes the on-axis science correction versus atmospheric conditions.  The three remaining beacons could be used to directly provide sharpening information on the TT stars or to enhance the on-axis correction or a compromise betwen the two.
This removes the need for 4 movable LGS beacons &amp; 4 movable LGS WFS.
Removes 16 degrees of freedom.
May be a design challenge to implement 3 with pick-offs with 4 fixed.</t>
  </si>
  <si>
    <t>Near infrared imager (possibly with coronagraph).  Survey primary stars at J- and H‑band.</t>
  </si>
  <si>
    <t xml:space="preserve">Observe 20 targets per night (each with e.g. 20 min integration time).  </t>
  </si>
  <si>
    <t>Target sample 3: solar type stars in nearby star forming regions such as Taurus and Ophiuchus, and young clusters @ 100 to 150 pc distance.  Bright targets (on-axis tip-tilt generally possible: V=14-15, J=10-12).  Sample size several hundred, desired maximum survey duration 3 yrs.</t>
  </si>
  <si>
    <t>(May not require LGS if there is a good enough near-IR wavefront sensor available).</t>
  </si>
  <si>
    <t>Excellent (&lt;10nm) calibration of both initial LGS spot size and quasi-static non-common path aberrations, especially at mid-spatial-frequencies.  Needs algorithms such as phase retrieval or speckle nulling (on a fiber source + good stability).  Small servo-lag error (&lt;30nm) to avoid scattered light at 0.2 arc sec.  Source: Error budget and simulations by Bruce Macintosh.</t>
  </si>
  <si>
    <t>Same as #4.4</t>
  </si>
  <si>
    <t xml:space="preserve">Excellent (10-20nm) calibration of both initial LGS spot size and quasi-static non-common path aberrations, at both low- and mid-spatial-frequencies.  Needs algorithms such as phase retrieval or speckle nulling (on a fiber source + good stability).  Small servo-lag error (&lt;30nm) to avoid scattered light at 0.2 arc sec.  Tomography errors 20-30nm.  Source: error budget and simulations by Bruce Macintosh.   </t>
  </si>
  <si>
    <r>
      <t>Requires multi-</t>
    </r>
    <r>
      <rPr>
        <sz val="12"/>
        <rFont val="MS Mincho"/>
        <family val="3"/>
      </rPr>
      <t xml:space="preserve"> λ</t>
    </r>
    <r>
      <rPr>
        <sz val="12"/>
        <rFont val="Times New Roman"/>
        <family val="1"/>
      </rPr>
      <t xml:space="preserve"> speckle suppression; very small inner working angle coronagraph (2</t>
    </r>
    <r>
      <rPr>
        <sz val="12"/>
        <rFont val="MS Mincho"/>
        <family val="3"/>
      </rPr>
      <t xml:space="preserve"> λ</t>
    </r>
    <r>
      <rPr>
        <sz val="12"/>
        <rFont val="Times New Roman"/>
        <family val="1"/>
      </rPr>
      <t>/D); static errors in 5-10nm range.</t>
    </r>
  </si>
  <si>
    <t>Sufficiently high throughput and low emissivity to permit detecting H=25 in 20 minutes at 5 sigma above background.</t>
  </si>
  <si>
    <t>Diagnostics on AO data to measure Strehl fluctuations if it takes a while to move on and off the coronagraph (a possible more attractive solution is a specialized coronagraph that simultaneously images the primary)</t>
  </si>
  <si>
    <t>Induced ghost images of primary; or rapid interleaving of saturated and unsaturated images; or a partially transparent coronagraph</t>
  </si>
  <si>
    <t>Transmit JHK to science instrument.  Goal: Y and z.</t>
  </si>
  <si>
    <t>JHK filters.  Methane band filters for rapid discrimination, Y and z, and/or a custom filter for early characterization.</t>
  </si>
  <si>
    <t>Able to register and subtract PSFs (with wavelength, time, etc.) for post-processing to get rid of residual speckles.  Subtraction needs to be sufficient enough to meet req. #4.4.</t>
  </si>
  <si>
    <t>PSF knowledge and/ or stability to meet req. #4.4.</t>
  </si>
  <si>
    <t>At least 1.5 x better than Nyquist sampled at J (goal Y)</t>
  </si>
  <si>
    <t>Field of view 3" radius (goal 5" radius)</t>
  </si>
  <si>
    <t>Technical field for low-order wavefront guidestar pickoff large enough to achieve 30% sky coverage  at high galactic latitude. Ability to acquire and track 3 tip/tilt stars. (More lenient if parent star can be used as one of the three TT stars.)  Or ability to measure everything sufficiently with a single H=15 TT star (pyramid sensors).</t>
  </si>
  <si>
    <t>The following observing preparation tools are required: guide star finder for high proper-motion stars</t>
  </si>
  <si>
    <t>Rationale</t>
  </si>
  <si>
    <t>Cost Savings ($M)</t>
  </si>
  <si>
    <t>% of WBS in this Phase</t>
  </si>
  <si>
    <t xml:space="preserve"> </t>
  </si>
  <si>
    <t>PD Phase</t>
  </si>
  <si>
    <t>Total of all Phases</t>
  </si>
  <si>
    <t>DD Phase</t>
  </si>
  <si>
    <t>FSD Phase</t>
  </si>
  <si>
    <t>DC Phase</t>
  </si>
  <si>
    <t>System Design</t>
  </si>
  <si>
    <t>FY07</t>
  </si>
  <si>
    <t>FY08</t>
  </si>
  <si>
    <t>FY09</t>
  </si>
  <si>
    <t>FY10</t>
  </si>
  <si>
    <t>FY11</t>
  </si>
  <si>
    <t>FY12</t>
  </si>
  <si>
    <t>FY13</t>
  </si>
  <si>
    <t>Preliminary Design</t>
  </si>
  <si>
    <t>Detailed Design</t>
  </si>
  <si>
    <t>Full Scale Development</t>
  </si>
  <si>
    <t>Delivery &amp; Commissioning</t>
  </si>
  <si>
    <t>Annual inflation =</t>
  </si>
  <si>
    <t>Start</t>
  </si>
  <si>
    <t>End</t>
  </si>
  <si>
    <t>Months</t>
  </si>
  <si>
    <t>FY14</t>
  </si>
  <si>
    <t>FY15</t>
  </si>
  <si>
    <t>Years of inflation</t>
  </si>
  <si>
    <t>NGAO System</t>
  </si>
  <si>
    <t>NIR Imager</t>
  </si>
  <si>
    <t>NIR IFU</t>
  </si>
  <si>
    <t>Visible Imager</t>
  </si>
  <si>
    <t>NGAO Total =</t>
  </si>
  <si>
    <t>NGAO Instrument Total =</t>
  </si>
  <si>
    <t>Overall Total =</t>
  </si>
  <si>
    <t>Contingency</t>
  </si>
  <si>
    <t>Actuals ($k)</t>
  </si>
  <si>
    <t>Plan (Then-Year $k)</t>
  </si>
  <si>
    <t>$0.162M for laser enclosure &amp; $2.1M for launch facility including contingency, but excluding lab &amp; telescope I&amp;T.</t>
  </si>
  <si>
    <t>All the laser proposals to ESO commit to this requirement.  
Pro: Removes need to have a tracking beam transport system.  
Pro: Laser enclosure is small.  
Con: Need to get cooling &amp; cabling onto El ring</t>
  </si>
  <si>
    <t>$0.25M</t>
  </si>
  <si>
    <t>Total savings ($M) =</t>
  </si>
  <si>
    <t>Total savings ($M), excluding item 1 =</t>
  </si>
  <si>
    <t>Reduce the number of LGS beacons from 9 to 7</t>
  </si>
  <si>
    <t>Only a minor performance degradation.
Reduces the number of beam transport optics, the number of LGS WFS, the number of motion control degrees of freedom &amp; the RTC complexity.</t>
  </si>
  <si>
    <t>$M</t>
  </si>
  <si>
    <t>Explanation</t>
  </si>
  <si>
    <t>Only refrigerate the NGAO science path optics.  Don't refrigerate the LGS WFS assembly.</t>
  </si>
  <si>
    <t>Dramatically reduces the volume to be cooled vs cooling much of the Nasmyth platform.
Where possible, benefit from the NFIRAOS design that follows this approach.
Implement the design so that at least the LGS WFS assembly is outside the refrigerated area; implies lower cost components &amp; easier maintenance.
Instruments should mate to ports to seal the refrigerated area.
Could potentially reuse much of existing AO enclosure for larger room.</t>
  </si>
  <si>
    <t>Extragalactic community was not supportive of multi-IFUs at the Keck 2008 Strategic Planning Meeting.
SDR reviewers asked us to revisit the cost vs benefit.
This allows us to make a large step toward the build-to-cost guidelines.
We should evaluate any work that would prevent implementation of more IFU units in the future.</t>
  </si>
  <si>
    <t>Do not implement visible imager</t>
  </si>
  <si>
    <t>Design correction: No PSF monitor DM &amp; no TT mechanism on TWFS</t>
  </si>
  <si>
    <t>Above does not include separate 32x32 MEMS for NIR IFU.  Instead assumes IFU after 64x64 MEMS.
Better AO performance &amp; no thruput/emissivity impact since would have needed relay optics &amp; 32x32 MEMS.</t>
  </si>
  <si>
    <t>Would like to be at least $2M below the $60M cap to allow for likely estimate growth during PD &amp; DD, &amp;/or higher contingency (closer to 30% on NGAO as goal).</t>
  </si>
  <si>
    <t>Consider an asymmetric fixed LGS asterism with a rotator, instead of PNS.  (RD)</t>
  </si>
  <si>
    <t>Discussed a further reduction to 50W laser total. This allows a clear future upgrade path with cost savings. Decided against for now since increases performance risk for 1st science.</t>
  </si>
  <si>
    <t>Higher MEMS costs</t>
  </si>
  <si>
    <t>Gavel reports that the MEMS costs may be going up</t>
  </si>
  <si>
    <t>$150 instead of $75/actuator.  
Assume 3x1000 &amp; 1x4000 actuators.
Inflate to FY12.</t>
  </si>
  <si>
    <t>2.  Inflation at 3.5% per year applied to labor.</t>
  </si>
  <si>
    <t>Do not implement an ADC for the NGS WFS</t>
  </si>
  <si>
    <t>NGS WFS not used for primary science.</t>
  </si>
  <si>
    <t>Assume $50k savings (no solid basis).
Inflate to FY12.</t>
  </si>
  <si>
    <t>$150k budget for OSIRIS mods.
$60k estimate for opto-mechanical design &amp; implementation, science ops tools design &amp; implementation, &amp; integrating with NGAO (add 25% contingency).
Inflated to FY12.</t>
  </si>
  <si>
    <t>Reduced switchyard opto-mechanics</t>
  </si>
  <si>
    <t>No wide field science support; no on-sky narrow field optimization
~ nm rms</t>
  </si>
  <si>
    <t>Number of devices</t>
  </si>
  <si>
    <t>RTC</t>
  </si>
  <si>
    <t>No. of subapertures</t>
  </si>
  <si>
    <t>?</t>
  </si>
  <si>
    <t>Optimized for above</t>
  </si>
  <si>
    <t>2 less WFS &amp; UTT; reduced subapertures &amp; configurations</t>
  </si>
  <si>
    <t>100 W (~11W / LGS)</t>
  </si>
  <si>
    <t>75 W (50W center)</t>
  </si>
  <si>
    <t>no</t>
  </si>
  <si>
    <t>yes</t>
  </si>
  <si>
    <t>NIR IFS</t>
  </si>
  <si>
    <t>6 channel multi d-IFS</t>
  </si>
  <si>
    <t>1 channel fixed IFS</t>
  </si>
  <si>
    <t>Extends to 800 nm</t>
  </si>
  <si>
    <t>Visible IFS</t>
  </si>
  <si>
    <t>OSIRIS</t>
  </si>
  <si>
    <t>Interferometer</t>
  </si>
  <si>
    <t>baseline</t>
  </si>
  <si>
    <t>KSP08; SDR</t>
  </si>
  <si>
    <t>To provide vis capability</t>
  </si>
  <si>
    <t>Impact</t>
  </si>
  <si>
    <t>Limited visible science capability; no multiplexing capability</t>
  </si>
  <si>
    <t>Provided by NIR IFS</t>
  </si>
  <si>
    <t>Cost; future upgrade?</t>
  </si>
  <si>
    <t>Science Case</t>
  </si>
  <si>
    <t>NIR Cam</t>
  </si>
  <si>
    <t>Vis Cam</t>
  </si>
  <si>
    <t>Vis IFS</t>
  </si>
  <si>
    <t>Galaxy assembly &amp; star formation</t>
  </si>
  <si>
    <t>GR effects in the Galactic Center</t>
  </si>
  <si>
    <t>Extrasolar planets</t>
  </si>
  <si>
    <t>Minor planets multiplicity</t>
  </si>
  <si>
    <t>MOSFIRE QE (from KAON 556)</t>
  </si>
  <si>
    <t>Wavelength</t>
  </si>
  <si>
    <t>MOSFIRE</t>
  </si>
  <si>
    <t>H-4RG goal</t>
  </si>
  <si>
    <t>e2V meas</t>
  </si>
  <si>
    <t>Cooling</t>
  </si>
  <si>
    <t>AO enclosure</t>
  </si>
  <si>
    <t>Science path optics</t>
  </si>
  <si>
    <t>Only science needs cold</t>
  </si>
  <si>
    <t>Truth WFS</t>
  </si>
  <si>
    <t>NIR after 1st relay
Vis after 2nd relay</t>
  </si>
  <si>
    <t>Vis after 1st relay</t>
  </si>
  <si>
    <t>Optical design</t>
  </si>
  <si>
    <t>2-tier</t>
  </si>
  <si>
    <t>1-tier</t>
  </si>
  <si>
    <t>2nd relay location</t>
  </si>
  <si>
    <t>reflection off dichroic</t>
  </si>
  <si>
    <t>transmitted, no dichroic</t>
  </si>
  <si>
    <t>NGS WFS</t>
  </si>
  <si>
    <t>ADC; 3 lenslets</t>
  </si>
  <si>
    <t>no ADC; 2 lenslets</t>
  </si>
  <si>
    <t>Few NGS in narrow field
Similar performance</t>
  </si>
  <si>
    <t>Removes 2nd tier cost</t>
  </si>
  <si>
    <t>no d-IFS; lower cost</t>
  </si>
  <si>
    <t>Sky Coverage</t>
  </si>
  <si>
    <t>Science Instruments</t>
  </si>
  <si>
    <t>Auxiliary Wavefront Sensing</t>
  </si>
  <si>
    <t>LGS Wavefront Sensing &amp; Correction</t>
  </si>
  <si>
    <t>Other</t>
  </si>
  <si>
    <t>ID #s</t>
  </si>
  <si>
    <t>10,11</t>
  </si>
  <si>
    <t>8,13</t>
  </si>
  <si>
    <t>7,9,14</t>
  </si>
  <si>
    <t>3,4,5,6,12,17</t>
  </si>
  <si>
    <t>15,16</t>
  </si>
  <si>
    <t>related to above</t>
  </si>
  <si>
    <t>Opto-mechanical Emissivity &amp; Throughput</t>
  </si>
  <si>
    <t>Target sample 1: Old field brown dwarfs out to distance of 20 pc.
Sample size several hundred, desired maximum survey duration 3 yrs (practical publication timescales).
[SCRD §2.4.3]</t>
  </si>
  <si>
    <t>Consider no ADCs for TT sensors.  Seems unlikely that no ADC will be adequate. (RD).  Conclusion (1/7/09): assume LOWFS ADCs.</t>
  </si>
  <si>
    <t>Could we get away without refrigeration if we do the following? (PW,DG,RD)
  Replace K-mirror w/ multiple vertical rotators (1 ea for HOWFS, LOWFS + NIR imager, NGS WFS, NIR IFU).
  Single relay w/ 48x48 or 56x56 DM instead of cascaded relay.
Science path could potentially have only ~4 high quality reflections. Could this meet &lt;30% unattenuated(sky+tel) spec?
Throughput to science instrument would be significantly higher (~4 AO surfaces vs ~18 including windows).
Throughput to LGS WFS would be higher (3 less surfaces; 7 less if include windows).
Higher DM &amp; rotator costs in exchange for no refrigeration &amp; fewer optics.
1/7/09: RD estimated that a high actuator count Xinetics DM with drivers would be $1M.  DG to evaluate emissivity &amp; thruput for this case.</t>
  </si>
  <si>
    <r>
      <t>Determine what dichroic switchyard savings can be made (DG, PW).  For example, cascade relay fed by 1st relay without a reflection; co-locating similar wavelength instruments.
1/7/09: Take multi-element decker out of cost estimate.</t>
    </r>
    <r>
      <rPr>
        <sz val="10"/>
        <color indexed="18"/>
        <rFont val="Arial"/>
        <family val="2"/>
      </rPr>
      <t xml:space="preserve">  </t>
    </r>
    <r>
      <rPr>
        <i/>
        <sz val="10"/>
        <color indexed="18"/>
        <rFont val="Arial"/>
        <family val="2"/>
      </rPr>
      <t>PW to do.</t>
    </r>
  </si>
  <si>
    <t>Target sample 2: Young (&lt;100 Myr) field brown dwarfs and low-mass stars to distance of 80 pc.  Sample size several hundred, desired maximum survey duration 3 yrs. [SCRD §2.4.3]</t>
  </si>
  <si>
    <t>Near infrared imager (possibly with coronagraph).  Survey primary at J- and H‑band.
Could benefit from dual- or multi-channel mode for rejecting speckle suppression, but not essential for this program.</t>
  </si>
  <si>
    <t>Possible dual- or multi-channel mode for speckle suppression.  Alternatively an IFU would help, provided it is Nyquist sampled at H and has FOV &gt; 1 arc sec.  Min. IFU spectral resolution is R~100.
May need IR ADC for imaging or coronagraphic observations (J or H bands); typical airmass is 1.7 for Ophiuchus.</t>
  </si>
  <si>
    <r>
      <t>Companion Sensitivity Sample 1: assume no companions beyond 15 AU. Targets at 20 to 30 pc; companion distribution peaks at 4 AU = 0.2"; this yields 2 M</t>
    </r>
    <r>
      <rPr>
        <vertAlign val="subscript"/>
        <sz val="12"/>
        <rFont val="Times New Roman"/>
        <family val="1"/>
      </rPr>
      <t>Jupiter</t>
    </r>
    <r>
      <rPr>
        <sz val="12"/>
        <rFont val="Times New Roman"/>
        <family val="1"/>
      </rPr>
      <t xml:space="preserve"> planets at a 0.2" separation with contrast </t>
    </r>
    <r>
      <rPr>
        <sz val="12"/>
        <rFont val="Symbol"/>
        <family val="1"/>
      </rPr>
      <t>Ä</t>
    </r>
    <r>
      <rPr>
        <sz val="12"/>
        <rFont val="Times New Roman"/>
        <family val="1"/>
      </rPr>
      <t>H = 10.
Planets have H=24, J=24.7.  Parent stars are 2MASS Brown Dwarfs with H=14.
[SCRD §2.4.2.1]</t>
    </r>
  </si>
  <si>
    <r>
      <t xml:space="preserve">Inner working angle of 6 </t>
    </r>
    <r>
      <rPr>
        <sz val="12"/>
        <rFont val="MS Mincho"/>
        <family val="3"/>
      </rPr>
      <t>λ</t>
    </r>
    <r>
      <rPr>
        <sz val="12"/>
        <rFont val="Times New Roman"/>
        <family val="1"/>
      </rPr>
      <t>/D general-purpose coronagraph with a contrast of 10</t>
    </r>
    <r>
      <rPr>
        <vertAlign val="superscript"/>
        <sz val="12"/>
        <rFont val="Times New Roman"/>
        <family val="1"/>
      </rPr>
      <t>-6</t>
    </r>
    <r>
      <rPr>
        <sz val="12"/>
        <rFont val="Times New Roman"/>
        <family val="1"/>
      </rPr>
      <t>.  Detailed design of coronagraph will take place during PDR stage.
Speckle suppression capability (multi-spectral imaging); dual-channel imager; stability of static errors ~5nm per sqrt(hr) for PSF subtraction or ADI.</t>
    </r>
  </si>
  <si>
    <t>Companion Sensitivity Sample 2: Parent stars are T Tauri, J=11.  A 1 MJupiter planet is at 300K, J=22, (2 MJupiter is J=19.5). This distribution could have a wider distribution of binaries
a) 0.1" separation, ÄJ = 8.5 (2MJ)
b) 0.2" separation, ÄJ = 11 (1MJ)
c) Goal ÄJ   = 11 at 0.1" separation (1MJ)
based on properties of the planets you want to look for.
[SCRD §2.4.2.2]</t>
  </si>
  <si>
    <r>
      <t xml:space="preserve">a) 6 </t>
    </r>
    <r>
      <rPr>
        <sz val="12"/>
        <rFont val="MS Mincho"/>
        <family val="3"/>
      </rPr>
      <t>λ</t>
    </r>
    <r>
      <rPr>
        <sz val="12"/>
        <rFont val="Times New Roman"/>
        <family val="1"/>
      </rPr>
      <t>/D general-purpose coronagraph
b) 6 λ/D general-purpose coronagraph
c) (Goal) Not achievable with a general purpose coronagraph. May need small inner working distance (2</t>
    </r>
    <r>
      <rPr>
        <sz val="12"/>
        <rFont val="Symbol"/>
        <family val="1"/>
      </rPr>
      <t>l</t>
    </r>
    <r>
      <rPr>
        <sz val="12"/>
        <rFont val="Times New Roman"/>
        <family val="1"/>
      </rPr>
      <t xml:space="preserve">/D) coronagraph </t>
    </r>
    <r>
      <rPr>
        <i/>
        <sz val="12"/>
        <rFont val="Times New Roman"/>
        <family val="1"/>
      </rPr>
      <t>(non-redundant aperture masking is an interesting approach for this, limits currently unknown, probably requires low read noise in science detector)</t>
    </r>
    <r>
      <rPr>
        <sz val="12"/>
        <rFont val="Times New Roman"/>
        <family val="1"/>
      </rPr>
      <t>.
Speckle suppression capability (multi-spectral imaging); dual-channel imager; stability of static errors ~5nm per sqrt(hr) for PSF subtraction or ADI.</t>
    </r>
  </si>
  <si>
    <r>
      <t>Goal: Companion Sensitivity Case 3: at 5 Myr , 1 M</t>
    </r>
    <r>
      <rPr>
        <vertAlign val="subscript"/>
        <sz val="12"/>
        <rFont val="Times New Roman"/>
        <family val="1"/>
      </rPr>
      <t>sun</t>
    </r>
    <r>
      <rPr>
        <sz val="12"/>
        <rFont val="Times New Roman"/>
        <family val="1"/>
      </rPr>
      <t xml:space="preserve"> primary;
a) goal ÄJ = 13.5 to see 1 MJupiter or 
b) goal ÄJ = 9 for 5 MJupiter. 0.07" is needed. 
For apparent magnitudes of parent stars see 4.3</t>
    </r>
  </si>
  <si>
    <r>
      <t>Sensitivity</t>
    </r>
    <r>
      <rPr>
        <sz val="12"/>
        <rFont val="Times New Roman"/>
        <family val="1"/>
      </rPr>
      <t xml:space="preserve"> of H=25 for 5-sigma detection in 20 minutes, at 1 arcsec separation from primary star.  (Brown dwarf targets are limited by sky background at larger angles, of order ~1 arcsec). [SCRD §2.4.5.9]</t>
    </r>
  </si>
  <si>
    <r>
      <t xml:space="preserve">H-band relative </t>
    </r>
    <r>
      <rPr>
        <i/>
        <sz val="12"/>
        <rFont val="Times New Roman"/>
        <family val="1"/>
      </rPr>
      <t xml:space="preserve">photometry </t>
    </r>
    <r>
      <rPr>
        <sz val="12"/>
        <rFont val="Times New Roman"/>
        <family val="1"/>
      </rPr>
      <t>(between primary and companion):  accuracy ≤ 0.1 mag for recovered companions (to estimate mass of the companion); goal of measuring colors to 0.05 mags (0.03 mag per band) to measure temperatures and surface gravities sufficiently accurately (to ~10%). [SCRD §2.4.5.4]</t>
    </r>
  </si>
  <si>
    <t>Ways to do this:
b) Induced ghost image method.  Needs a wire grating ahead of the coronagraph, or use DM to induce ghost images.  (papers by Marois et al. 2006, ApJ, 647, 612; Sivaramakrishnan &amp; Oppenheimer 2006, ApJ, 647, 620).
a) Position stability requirement for star behind coronagraph (e.g., stable to 0.5 or 2 mas over 10 min.).</t>
  </si>
  <si>
    <t>Stability of distortion as required for 0.5 or 2 mas.
Also want ghost images of primary (as for photometry #4.8) in order to locate it accurately relative to planet.</t>
  </si>
  <si>
    <t xml:space="preserve">Requirement: Astrometric precision 2 mas (~1/10 PSF) relative between primary and planet, for initial rejection of background objects. [SCRD §2.4.5.5]
Goal: For measuring orbits of nearby field objects, want 0.5 mas to measure masses to 10%.  Note this gives you mass of primary star.
Could be combined with Doppler measurements if that’s practical for the brighter objects.  </t>
  </si>
  <si>
    <t>4.10</t>
  </si>
  <si>
    <t>Efficiency: 20 targets per night (30 goal)
[SCRD §2.4.6.2]</t>
  </si>
  <si>
    <t>AO system must be able to absolutely steer objects so they land on the coronagraph.  This implies 5 mas reproducibility of field steering –or lock the tip/tilt to this accuracy relative to coronagraph field stop.
Final requirement will depend on the details of the coronagraph (5 mas is consistent with GPI modeling).</t>
  </si>
  <si>
    <t>Observing wavelengths JHK bands (strong goal: Y and z for companion temperature characterization) [SCRD §2.4.4, §2.4.7]</t>
  </si>
  <si>
    <t>Field of view: must see companions at 100 AU scales at 30 pc (goal 20 pc) [SCRD §2.4.5.3]</t>
  </si>
  <si>
    <t>Characterization of companion [SCRD §2.4.4]</t>
  </si>
  <si>
    <t>a) R ~150 IFU, sub-Nyquist sampling spectrograph, or if above not available,
b) Nyquist spatial sampling IFU, R ~ 4,000, OH suppressing).
c) or narrow-band filters.
All must be sensitive to J = 22 or 23 in ~3 hrs.</t>
  </si>
  <si>
    <t>Sky Coverage &gt;30%.  (Survey several hundred Brown Dwarfs to H=15 of the ~1000 known targets.) [SCRD §2.4.7]</t>
  </si>
  <si>
    <t>Asteroid Companions Survey</t>
  </si>
  <si>
    <r>
      <t xml:space="preserve">The </t>
    </r>
    <r>
      <rPr>
        <i/>
        <sz val="12"/>
        <color indexed="8"/>
        <rFont val="Times New Roman"/>
        <family val="1"/>
      </rPr>
      <t>companion sensitivity</t>
    </r>
    <r>
      <rPr>
        <sz val="12"/>
        <color indexed="8"/>
        <rFont val="Times New Roman"/>
        <family val="1"/>
      </rPr>
      <t xml:space="preserve"> shall be </t>
    </r>
    <r>
      <rPr>
        <sz val="12"/>
        <color indexed="8"/>
        <rFont val="Symbol"/>
        <family val="1"/>
      </rPr>
      <t>Ä</t>
    </r>
    <r>
      <rPr>
        <sz val="12"/>
        <color indexed="8"/>
        <rFont val="Times New Roman"/>
        <family val="1"/>
      </rPr>
      <t>J ≥ 5.5 mag at 0.5” separation for a V ≤ 17 asteroid (J≤ 15.9) (asteroid size &lt; 0.2”) with a proper motion of ≤ 50 arcsec/hour [ScRD §2.5.4.6]</t>
    </r>
  </si>
  <si>
    <t>The asteroid can be used as tip/tilt guidestar (proper motion of ≤ 50 arcsec/hour). The AO system has sufficient field of view for objects and for their seeing disks (&gt;3 arcsec, see # 5.6). The tip-tilt residual error will be less than 10 mas (limited by resolved primary) while guiding on one V=17 (J =15.9) object with relative motion of 50 arcsec/hr (14 mas/sec). The AO system has sufficient Strehl to achieve this contrast ratio and sensitivity in 15 min exposure time.  KAON 529 suggests that 170nm wavefront error will suffice.</t>
  </si>
  <si>
    <t>Near-IR imager</t>
  </si>
  <si>
    <r>
      <t xml:space="preserve">J-band relative </t>
    </r>
    <r>
      <rPr>
        <i/>
        <sz val="12"/>
        <color indexed="8"/>
        <rFont val="Times New Roman"/>
        <family val="1"/>
      </rPr>
      <t>photometric</t>
    </r>
    <r>
      <rPr>
        <sz val="12"/>
        <color indexed="8"/>
        <rFont val="Times New Roman"/>
        <family val="1"/>
      </rPr>
      <t xml:space="preserve"> accuracy (between primary and companion) of 5% at 0.6” for </t>
    </r>
    <r>
      <rPr>
        <sz val="12"/>
        <color indexed="8"/>
        <rFont val="Symbol"/>
        <family val="1"/>
      </rPr>
      <t>Ä</t>
    </r>
    <r>
      <rPr>
        <sz val="12"/>
        <color indexed="8"/>
        <rFont val="Times New Roman"/>
        <family val="1"/>
      </rPr>
      <t>J = 3 for a V ≤ 17 (J≤ 15.9) asteroid (asteroid size &lt; 0.2”) with a proper motion of ≤ 50 arcsec/hour [ScRD §2.5.4.4]</t>
    </r>
  </si>
  <si>
    <t>Near- IR imager (no coronagraph because many asteroids will be resolved)</t>
  </si>
  <si>
    <t>Target sample ≥ 300 asteroids in ≤ 4 yr. [SCRD §2.5.3 ¶4] Leads to requirement of ≥ 25 targets per 11 hour night.  [SCRD §2.5.5.2]</t>
  </si>
  <si>
    <t>Assumes 3 good nights per year.  Needs high observing efficiency: Able to slew to new target and complete the entire observation within 26 minutes on average.</t>
  </si>
  <si>
    <t>Observing wavelengths I through H bands, for optimum companion sensitivity [Source: KAON 529].  J band is best when seeing is good.  H band could be used when seeing is poor. [SCRD 2.5.6.6]</t>
  </si>
  <si>
    <t>Visible and IR imagers.</t>
  </si>
  <si>
    <r>
      <t xml:space="preserve">Spatial sampling ≤ Nyquist at each observing wavelength. [SCRD §2.5.6.4]  Pixel sampling of </t>
    </r>
    <r>
      <rPr>
        <sz val="12"/>
        <color indexed="8"/>
        <rFont val="Symbol"/>
        <family val="1"/>
      </rPr>
      <t>l</t>
    </r>
    <r>
      <rPr>
        <sz val="12"/>
        <color indexed="8"/>
        <rFont val="Times New Roman"/>
        <family val="1"/>
      </rPr>
      <t>/3D optimal for photometry and astrometry [KAON 529].</t>
    </r>
  </si>
  <si>
    <r>
      <t xml:space="preserve">Spatial sampling ≤ Nyquist at the observing wavelength.  Pixel sampling of </t>
    </r>
    <r>
      <rPr>
        <sz val="12"/>
        <color indexed="8"/>
        <rFont val="Symbol"/>
        <family val="1"/>
      </rPr>
      <t>l</t>
    </r>
    <r>
      <rPr>
        <sz val="12"/>
        <color indexed="8"/>
        <rFont val="Times New Roman"/>
        <family val="1"/>
      </rPr>
      <t xml:space="preserve">/3D is optimal at J through H-bands, and </t>
    </r>
    <r>
      <rPr>
        <sz val="12"/>
        <color indexed="8"/>
        <rFont val="Symbol"/>
        <family val="1"/>
      </rPr>
      <t>l</t>
    </r>
    <r>
      <rPr>
        <sz val="12"/>
        <color indexed="8"/>
        <rFont val="Times New Roman"/>
        <family val="1"/>
      </rPr>
      <t>/2D at I through z-band for both photometry and astrometry [see KAON 529].</t>
    </r>
  </si>
  <si>
    <t>Field of view ≥ 3” diameter [SCRD §2.5.6.2]</t>
  </si>
  <si>
    <t>AO system passes a &gt;3” unvignetted field of view</t>
  </si>
  <si>
    <t>Imager fields of view ≥ 3”</t>
  </si>
  <si>
    <t>The following observing preparation tools are required: guide star finder for asteroids too faint to use as the only TT star, PSF simulation as function of wavelength and seeing conditions.</t>
  </si>
  <si>
    <t>The following data products are required: Access to archive with proper identification in World Coordinate System (to within 1 arc sec or better) and with associated calibrated PSF.</t>
  </si>
  <si>
    <t xml:space="preserve">Calibrated PSF capability.  Accuracy requirement will be discussed in future releases of the SCRD document.  Ability to collect AO telemetry data to support the required PSF calibration.  </t>
  </si>
  <si>
    <t>FITS header system capable of handling non-sidereal offsets in reporting object coordinates in the World Coordinate System to within 1 arc sec or better.</t>
  </si>
  <si>
    <t>Observing requirements: Observer present either in person or via remote observing rooms, because real-time observing sequence determination is needed.</t>
  </si>
  <si>
    <t xml:space="preserve">Classical observing mode or service mode with active observer participation.  Remote observing capabilities must allow frequent real-time decisions by observer. </t>
  </si>
  <si>
    <t>Asteroid Companions Orbit Determination</t>
  </si>
  <si>
    <t>Companion sensitivity in the near-IR. Same as #5.1</t>
  </si>
  <si>
    <t>Same as #5.1</t>
  </si>
  <si>
    <t>Near-IR imager.</t>
  </si>
  <si>
    <r>
      <t xml:space="preserve">The </t>
    </r>
    <r>
      <rPr>
        <i/>
        <sz val="12"/>
        <rFont val="Times New Roman"/>
        <family val="1"/>
      </rPr>
      <t xml:space="preserve">companion sensitivity in the visible </t>
    </r>
    <r>
      <rPr>
        <sz val="12"/>
        <rFont val="Times New Roman"/>
        <family val="1"/>
      </rPr>
      <t xml:space="preserve">shall be </t>
    </r>
    <r>
      <rPr>
        <sz val="12"/>
        <rFont val="Symbol"/>
        <family val="1"/>
      </rPr>
      <t>Ä</t>
    </r>
    <r>
      <rPr>
        <sz val="12"/>
        <rFont val="Times New Roman"/>
        <family val="1"/>
      </rPr>
      <t>I ≥ 7.5 mag at 0.75” separation for a V ≤ 17 (I ≤ 16.1) asteroid (asteroid size &lt; 0.2”) with a proper motion of ≤ 50 arcsec/hour [ScRD §2.5.4.6]</t>
    </r>
  </si>
  <si>
    <t>Visible Imager.  Optimum visible wavelength is I through z bands per KAON 529.  Note that if the near-IR imager extends down to I band, a separate visible imager would not be needed for this science case.</t>
  </si>
  <si>
    <r>
      <t>Photometric accuracy</t>
    </r>
    <r>
      <rPr>
        <sz val="12"/>
        <rFont val="Times New Roman"/>
        <family val="1"/>
      </rPr>
      <t>: Same as #5.2</t>
    </r>
  </si>
  <si>
    <t>Same as #5.2</t>
  </si>
  <si>
    <r>
      <t xml:space="preserve">I-band relative </t>
    </r>
    <r>
      <rPr>
        <i/>
        <sz val="12"/>
        <rFont val="Times New Roman"/>
        <family val="1"/>
      </rPr>
      <t>astrometric</t>
    </r>
    <r>
      <rPr>
        <sz val="12"/>
        <rFont val="Times New Roman"/>
        <family val="1"/>
      </rPr>
      <t xml:space="preserve"> accuracy of ≤ 1.5 mas for a V ≤ 17 (J ≤ 15.9) asteroid (asteroid size &lt; 0.2”) with a proper motion of ≤ 50 arcsec/hour [SCRD §2.5.4.5]</t>
    </r>
  </si>
  <si>
    <t>Non-sidereal tracking accuracy sufficiently small to achieve I-band astrometric accuracy ≤ 1.5 mas for a V ≤ 17 (J ≤ 15.9) asteroid with a proper motion of ≤ 50 arcsec/hour</t>
  </si>
  <si>
    <r>
      <t xml:space="preserve">Uncalibrated detector </t>
    </r>
    <r>
      <rPr>
        <i/>
        <sz val="12"/>
        <rFont val="Times New Roman"/>
        <family val="1"/>
      </rPr>
      <t>distortion</t>
    </r>
    <r>
      <rPr>
        <sz val="12"/>
        <rFont val="Times New Roman"/>
        <family val="1"/>
      </rPr>
      <t xml:space="preserve"> sufficiently small to achieve I-band astrometric accuracy ≤ 1.5 mas for a V ≤ 17 (J ≤ 15.9) asteroid</t>
    </r>
  </si>
  <si>
    <t>Target sample size of ≥ 100 asteroids in ≤ 3 years. [SCRD §2.5.3 ¶4]  Leads to requirement of ≥ 25 targets in an 11 hour night. [SCRD §2.5.5.2]</t>
  </si>
  <si>
    <t>Needs high observing efficiency: Able to slew to new target and complete the entire observation within 25 minutes on average.  Will generally only observe at one wavelength (the one that gives the best astrometric information).</t>
  </si>
  <si>
    <t>Observing wavelengths =  I, z, J, H bands. (Note: R-band may become a future requirement if R-band Strehl &gt; 15%) [SCRD §2.5.6.6]</t>
  </si>
  <si>
    <t>Imager(s) covering range I, z, J, H bands.  Note that if the near-IR imager extends down to I band, a separate visible imager would not be needed for this science case.</t>
  </si>
  <si>
    <t>Spatial sampling same as #5.5</t>
  </si>
  <si>
    <t>Same as #5.5</t>
  </si>
  <si>
    <t>Same as #5.6</t>
  </si>
  <si>
    <t>Same as #5.7</t>
  </si>
  <si>
    <t>Same as #5.8</t>
  </si>
  <si>
    <t>See #5.8</t>
  </si>
  <si>
    <t>Observing requirements: 7 epochs per target [SCRD §2.5.3 ¶4]</t>
  </si>
  <si>
    <t>Observing model needs to accommodate split nights or some level of flexibility.</t>
  </si>
  <si>
    <t>6.10</t>
  </si>
  <si>
    <t>QSO Host galaxies</t>
  </si>
  <si>
    <t>Sky coverage fraction &gt;30% for 50% enclosed energy within 0.05 arc sec at J band</t>
  </si>
  <si>
    <t>Assume lasers are on the elevation moving part of the telescope</t>
  </si>
  <si>
    <t>Can't afford within build-to-cost.
Extend NIR imager coverage down to 850 nm.</t>
  </si>
  <si>
    <t>Savings in project management &amp; systems engineering</t>
  </si>
  <si>
    <t>The above savings amount to an ~ $4M cost reduction on the NGAO system or ~7.5% of the cost.
It might be reasonable to assume we can reduce the management &amp; systems engineering costs at some level due to the resulting reduced complexity.</t>
  </si>
  <si>
    <t>$7.56M budgeted for project management &amp; systems engineering.
Assume a 3% reduction in this amount.
Inflate to FY10 since includes design work.</t>
  </si>
  <si>
    <t>$3727k in then-year dollars + 20% contingency.
Add $400k in then-year dollars + 20% contingency of $400k to NIR imager.</t>
  </si>
  <si>
    <t>Required wavelength range: 0.85 – 2.4 microns</t>
  </si>
  <si>
    <t>Near IR IFU spectrograph; near IR and visible imagers.</t>
  </si>
  <si>
    <t>Required spatial resolution will be discussed in a future release of this document.  Will be determined by considerations of PSF subtraction accuracy.  Hence required resolution will be higher than in the high-z galaxy science case.</t>
  </si>
  <si>
    <t>Desirable to use central QSO point source as one of the tip-tilt reference stars, if possible.</t>
  </si>
  <si>
    <t>PSF must be oversampled in order to achieve required subtraction accuracy.  Quantitative requirements will be discussed in future releases of the SCRD.</t>
  </si>
  <si>
    <t>Photometric accuracy and PSF knowledge required for subtracting the central point source in order to characterize the host galaxy must be adequate to obtain host galaxy colors to 20% for a contrast ratio of up to 200 at a distance of ½ arc sec from the point source.</t>
  </si>
  <si>
    <t>Requires excellent PSF stability and knowledge; future releases of the SCRD will discuss the quantitative requirements.  Will have implications for required AO wavefront error, AO stability, and required signal to noise ratio.</t>
  </si>
  <si>
    <t>Required calibration stability and accuracy, zero-point stability and knowledge, quality of flat-fielding will be discussed quantitatively in future releases of the SCRD.  PSF must be oversampled in order to achieve required subtraction accuracy.  Quantitative requirements will be discussed in future releases of the SCRD.</t>
  </si>
  <si>
    <t xml:space="preserve">SNR for spatially resolved spectroscopy of the host galaxy will be determined by accuracy of PSF subtraction and by minimization of scattered light from the central point source.  </t>
  </si>
  <si>
    <t>May benefit from specialized coronagraph design to block light from central point source.</t>
  </si>
  <si>
    <t>Required observation planning tools (e.g. guide stars); PSF simulation tools to plan for whether PSF subtraction will be good enough to see the host galaxy</t>
  </si>
  <si>
    <t>8a.1</t>
  </si>
  <si>
    <t xml:space="preserve">Sensitivity: SNR ≥ 3 per pixel (100 per source) for a z = 1 – 2 galaxy in an integration time ≤ 1/2 hour.  </t>
  </si>
  <si>
    <t>Background due to emissivity less than 30% of unattenuated (sky + tel).</t>
  </si>
  <si>
    <t>8a.2</t>
  </si>
  <si>
    <t>Target sample size of ≥ 200 galaxies, with density on the sky of 10 per square degree.  Survey time ~ 3 years.</t>
  </si>
  <si>
    <t>Overhead less than 10 min between targets.</t>
  </si>
  <si>
    <t>10 per square degree implies that you will only be able to observe one target at a time – average of 1 in every ~19’x19’ patch.</t>
  </si>
  <si>
    <t>8a.3</t>
  </si>
  <si>
    <t>Observing wavelengths =  I through K (to 2.4 µm).  Emphasis is on shorter wavelengths.   Thermal part of K band less important. [SCRD §3.2.6.5]</t>
  </si>
  <si>
    <t>8a.4</t>
  </si>
  <si>
    <t>Spatial resolution better than 50 mas at J band, for 30% sky coverage.</t>
  </si>
  <si>
    <t>Need a good model of the PSF or a simultaneous image of a PSF star.  Need a figure of merit for goodness of the PSF: how well the model fits the “real” PSF in two dimensions.  Will  quantify in future releases of the SCRD.</t>
  </si>
  <si>
    <t>Nyquist sampling of pixels at each wavelength.</t>
  </si>
  <si>
    <t>8a.5</t>
  </si>
  <si>
    <t>Field of view &gt; 15” diameter for survey.  Bigger is better.  Some degradation between center and edge of field is tolerable.  Will  quantify in future releases of the SCRD. [SCRD §3.2.6.2]</t>
  </si>
  <si>
    <t>8a.6</t>
  </si>
  <si>
    <t>Relative photometry to ≤ 0.1 mag for observations during a single night [SCRD §3.2.4.4]</t>
  </si>
  <si>
    <t>8a.7</t>
  </si>
  <si>
    <t>Absolute photometry ≤ 0.3 mag [SCRD §3.2.4.4]</t>
  </si>
  <si>
    <t>8a.8</t>
  </si>
  <si>
    <t>Sky coverage at least 30% with enclosed energy radius within 0.07 arc sec at H or K. [SCRD §3.2.4.9]</t>
  </si>
  <si>
    <t>8a.9</t>
  </si>
  <si>
    <t>Dithering and offset considerations: 1) Initially should be able to center a galaxy to ≤ 10% of science field of view.  2) Should know the relative position of the galaxy after a dither to ≤ 20% of pixel size.</t>
  </si>
  <si>
    <t>8a.10</t>
  </si>
  <si>
    <t>8a.11</t>
  </si>
  <si>
    <t>The following data products are required: accurate distortion map (to 1% of the size of the galaxy, or 0.01 arc sec rms)</t>
  </si>
  <si>
    <t>8a</t>
  </si>
  <si>
    <t>Distant galaxies lensed by galaxies - spectroscopic studies</t>
  </si>
  <si>
    <t>Distant galaxies lensed by galaxies - imaging studies</t>
  </si>
  <si>
    <t>8b.1</t>
  </si>
  <si>
    <t>SNR ≥ 10 for a z = 1 – 2 galaxy in an integration time ≤ 3 hours for a Gaussian width 20 km/sec Gaussian width (50 km/sec FWHM) with a spatial resolution of 50 mas</t>
  </si>
  <si>
    <t>R ~ 5000 (or whatever is needed to achieve 20 km/sec sigma on these targets)</t>
  </si>
  <si>
    <t>8b.2</t>
  </si>
  <si>
    <t>Target sample size of ≥ 50 galaxies, with density on the sky of 10 per square degree.  Survey time ~ 3 years.</t>
  </si>
  <si>
    <t>Number of IFUs: at least one, plus preferably one to monitor the PSF and one to monitor the sky.  The extra two IFUs could be dispensed with if there were other ways to monitor the PSF and the sky background.</t>
  </si>
  <si>
    <t>8b.3</t>
  </si>
  <si>
    <t>Observing wavelengths =  J, H and K (to 2.4 µm) required, with emphasis on J band.   Goal: also use z and I bands.  [SCRD §3.2.6.5]</t>
  </si>
  <si>
    <t>8b.4</t>
  </si>
  <si>
    <t>Spectral resolution: whatever is needed to get 20 km/sec radial velocity Gaussian sigma</t>
  </si>
  <si>
    <t>8b.5</t>
  </si>
  <si>
    <t>Spatial resolution 50 mas at J band</t>
  </si>
  <si>
    <t>8b.6</t>
  </si>
  <si>
    <t>Velocity determined to ≤ 20 km/sec Gaussian sigma for spatial resolutions of 50  mas</t>
  </si>
  <si>
    <t>Required level of PSF knowledge will be assessed in future releases of the SCRD.</t>
  </si>
  <si>
    <t>8b.7</t>
  </si>
  <si>
    <r>
      <t xml:space="preserve">Field of view: Typical lens is 2 to 6 arc sec diameter. </t>
    </r>
    <r>
      <rPr>
        <sz val="12"/>
        <color indexed="8"/>
        <rFont val="Times New Roman"/>
        <family val="1"/>
      </rPr>
      <t>For IFU fields of view smaller than the lens size, one would use mosaicing.  Desirable to</t>
    </r>
    <r>
      <rPr>
        <sz val="12"/>
        <rFont val="Times New Roman"/>
        <family val="1"/>
      </rPr>
      <t xml:space="preserve"> take in blank sky in addition to the lens (if possible).  Requirement:  FOV </t>
    </r>
    <r>
      <rPr>
        <sz val="12"/>
        <rFont val="Symbol"/>
        <family val="1"/>
      </rPr>
      <t>³</t>
    </r>
    <r>
      <rPr>
        <sz val="12"/>
        <rFont val="Times New Roman"/>
        <family val="1"/>
      </rPr>
      <t xml:space="preserve"> 3” diameter.  Goal: </t>
    </r>
    <r>
      <rPr>
        <sz val="12"/>
        <rFont val="Symbol"/>
        <family val="1"/>
      </rPr>
      <t>³</t>
    </r>
    <r>
      <rPr>
        <sz val="12"/>
        <rFont val="Times New Roman"/>
        <family val="1"/>
      </rPr>
      <t xml:space="preserve"> 4” diameter. [SCRD §3.2.6.2]</t>
    </r>
  </si>
  <si>
    <r>
      <t xml:space="preserve">Requirement:  IFU FOV </t>
    </r>
    <r>
      <rPr>
        <sz val="12"/>
        <rFont val="Symbol"/>
        <family val="1"/>
      </rPr>
      <t>³</t>
    </r>
    <r>
      <rPr>
        <sz val="12"/>
        <rFont val="Times New Roman"/>
        <family val="1"/>
      </rPr>
      <t xml:space="preserve"> 3” diameter.  Goal: </t>
    </r>
    <r>
      <rPr>
        <sz val="12"/>
        <rFont val="Symbol"/>
        <family val="1"/>
      </rPr>
      <t>³</t>
    </r>
    <r>
      <rPr>
        <sz val="12"/>
        <rFont val="Times New Roman"/>
        <family val="1"/>
      </rPr>
      <t xml:space="preserve"> 4” diameter.</t>
    </r>
  </si>
  <si>
    <t>8b.8</t>
  </si>
  <si>
    <t>Simultaneous sky background measurements</t>
  </si>
  <si>
    <t>Preferably sky determination within the field of view of the IFU.  Less preferably, through use of offsetting to sky or via a separate IFU looking at sky.</t>
  </si>
  <si>
    <t>8b.9</t>
  </si>
  <si>
    <t>8b.10</t>
  </si>
  <si>
    <t>8b.11</t>
  </si>
  <si>
    <t>Sky coverage at least 30% with enclosed energy radius within 50 mas at J band.  [SCRD §3.2.4.9]</t>
  </si>
  <si>
    <t>8b.12</t>
  </si>
  <si>
    <t>Dithering and offset considerations: 1) Initially should be able to center a galaxy to ≤ 10% of science field of view.  2) Should know the relative position of the galaxy after a dither to ≤ 20% of spaxel size.</t>
  </si>
  <si>
    <t>8b.13</t>
  </si>
  <si>
    <t>8b.14</t>
  </si>
  <si>
    <t>8b.15</t>
  </si>
  <si>
    <t>8b</t>
  </si>
  <si>
    <t>Asteroid size, share &amp; composition</t>
  </si>
  <si>
    <t>Target sample size of ≥ 300 asteroids in ≤ 3yrs years. &lt; 10 targets in an 11 hour night [SCRD §3.6.3]</t>
  </si>
  <si>
    <t>#6.5 is stricter requirement.</t>
  </si>
  <si>
    <t>Observing wavelengths 0.7 – 1.0 µm.  Strong preference for R band because optimum to obtain shape of asteroid. [SCRD §3.6.6.6]</t>
  </si>
  <si>
    <t>AO system must pass 0.7 to 1.0 micron wavelengths</t>
  </si>
  <si>
    <t>Imagers (R through J band) with narrow-band filters or slit spectrograph (R~100), or possibly visible IFU (R~100).</t>
  </si>
  <si>
    <t>Field of view ≥ 3” diameter [SCRD §3.6.6.2]</t>
  </si>
  <si>
    <t>Same as #6.8</t>
  </si>
  <si>
    <r>
      <t xml:space="preserve">Ability to measure the spectral slope with R ~ 100 at 0.85-1.0 </t>
    </r>
    <r>
      <rPr>
        <sz val="12"/>
        <rFont val="Symbol"/>
        <family val="1"/>
      </rPr>
      <t>m</t>
    </r>
    <r>
      <rPr>
        <sz val="12"/>
        <rFont val="Times New Roman"/>
        <family val="1"/>
      </rPr>
      <t>m [SCRD §3.6.6.7]</t>
    </r>
  </si>
  <si>
    <r>
      <t>Ability to measure the SO</t>
    </r>
    <r>
      <rPr>
        <vertAlign val="subscript"/>
        <sz val="12"/>
        <rFont val="Times New Roman"/>
        <family val="1"/>
      </rPr>
      <t>2</t>
    </r>
    <r>
      <rPr>
        <sz val="12"/>
        <rFont val="Times New Roman"/>
        <family val="1"/>
      </rPr>
      <t xml:space="preserve"> frost bands at R=1000 (R=5000 is acceptable) at 1.98 and 2.12 </t>
    </r>
    <r>
      <rPr>
        <sz val="12"/>
        <rFont val="Symbol"/>
        <family val="1"/>
      </rPr>
      <t>m</t>
    </r>
    <r>
      <rPr>
        <sz val="12"/>
        <rFont val="Times New Roman"/>
        <family val="1"/>
      </rPr>
      <t>m,  crystalline ice band at 1.65 microns. [SCRD §3.6.6.7]</t>
    </r>
  </si>
  <si>
    <t>Spectroscopic imaging at R~1000 to 5000 in the H and K bands.</t>
  </si>
  <si>
    <t>Gas Giants</t>
  </si>
  <si>
    <r>
      <t>Capability of tracking a moving target</t>
    </r>
    <r>
      <rPr>
        <sz val="12"/>
        <rFont val="Times New Roman"/>
        <family val="1"/>
      </rPr>
      <t xml:space="preserve"> with rate up ≤ 50 arcseconds per hour (14 mas/second) [SCRD §3.7.5.1]</t>
    </r>
  </si>
  <si>
    <r>
      <t>Capability of using at least one tip-tilt star that is moving with respect to the (moving) target planet</t>
    </r>
    <r>
      <rPr>
        <sz val="12"/>
        <rFont val="Times New Roman"/>
        <family val="1"/>
      </rPr>
      <t>.  (For example, a moon of Jupiter or Saturn) [SCRD §3.7.5.1]</t>
    </r>
  </si>
  <si>
    <t>Motion of low order wavefront sensor to track tip-tilt star.</t>
  </si>
  <si>
    <r>
      <t>Ability to acquire Io within 5” of Jupiter and to track it to within 2.5” of Jupiter.</t>
    </r>
    <r>
      <rPr>
        <sz val="12"/>
        <rFont val="Times New Roman"/>
        <family val="1"/>
      </rPr>
      <t xml:space="preserve">  Note that this is a goal but perhaps not a rigid requirement: we know we can acquire within 10” today.</t>
    </r>
  </si>
  <si>
    <t>May require either a diaphragm or a filter to attenuate the light from Jupiter.</t>
  </si>
  <si>
    <t>See AO derived requirement.</t>
  </si>
  <si>
    <r>
      <t>Sensitivity:</t>
    </r>
    <r>
      <rPr>
        <sz val="12"/>
        <rFont val="Times New Roman"/>
        <family val="1"/>
      </rPr>
      <t xml:space="preserve"> comparable to the current Keck system</t>
    </r>
  </si>
  <si>
    <r>
      <t>Absolute Photometric</t>
    </r>
    <r>
      <rPr>
        <sz val="12"/>
        <rFont val="Times New Roman"/>
        <family val="1"/>
      </rPr>
      <t xml:space="preserve"> </t>
    </r>
    <r>
      <rPr>
        <i/>
        <sz val="12"/>
        <rFont val="Times New Roman"/>
        <family val="1"/>
      </rPr>
      <t>accuracy:</t>
    </r>
    <r>
      <rPr>
        <sz val="12"/>
        <rFont val="Times New Roman"/>
        <family val="1"/>
      </rPr>
      <t xml:space="preserve"> comparable to the current Keck system (≤ 0.05 mag) [SCRD §3.7.4.4]</t>
    </r>
  </si>
  <si>
    <t>PSF knowledge</t>
  </si>
  <si>
    <t>Detector flat-fielding requirements, linearity, etc will flow down from required photometric accuracy.</t>
  </si>
  <si>
    <r>
      <t>Targets</t>
    </r>
    <r>
      <rPr>
        <sz val="12"/>
        <rFont val="Times New Roman"/>
        <family val="1"/>
      </rPr>
      <t>: Jupiter and Saturn systems, with special focus on Io and Titan</t>
    </r>
  </si>
  <si>
    <t>AO system capable of working in the presence of scattered light from nearby extended objects; NGS option for bright moons</t>
  </si>
  <si>
    <r>
      <t>Observing wavelengths</t>
    </r>
    <r>
      <rPr>
        <sz val="12"/>
        <rFont val="Times New Roman"/>
        <family val="1"/>
      </rPr>
      <t xml:space="preserve"> I, z/Y, J, H, K [SCRD §3.7.6.5]</t>
    </r>
  </si>
  <si>
    <t>AO system must pass these wavelengths to science instruments.</t>
  </si>
  <si>
    <r>
      <t xml:space="preserve">Near- IR imager and IFU spectrometer, </t>
    </r>
    <r>
      <rPr>
        <sz val="12"/>
        <rFont val="Symbol"/>
        <family val="1"/>
      </rPr>
      <t>l</t>
    </r>
    <r>
      <rPr>
        <sz val="12"/>
        <rFont val="Times New Roman"/>
        <family val="1"/>
      </rPr>
      <t>= 0.8-2.4 µm</t>
    </r>
  </si>
  <si>
    <r>
      <t>Spatial sampling:</t>
    </r>
    <r>
      <rPr>
        <sz val="12"/>
        <rFont val="Times New Roman"/>
        <family val="1"/>
      </rPr>
      <t xml:space="preserve"> for imager, ≤ Nyquist at the observing wavelength</t>
    </r>
  </si>
  <si>
    <r>
      <t>For imager, spatial sampling ≤ Nyquist at the observing wavelength.  For IFU, spatial sampling ~</t>
    </r>
    <r>
      <rPr>
        <sz val="12"/>
        <rFont val="Symbol"/>
        <family val="1"/>
      </rPr>
      <t>l</t>
    </r>
    <r>
      <rPr>
        <sz val="12"/>
        <rFont val="Times New Roman"/>
        <family val="1"/>
      </rPr>
      <t>/D.</t>
    </r>
  </si>
  <si>
    <t>Imager field of view ≥ 30” diameter at K band, ≥ 20” diameter at J and H bands (goal 30”) [SCRD §3.7.6.1]</t>
  </si>
  <si>
    <t>AO system passes a &gt;30” unvignetted field of view</t>
  </si>
  <si>
    <t>IFU field of view as large as possible, up to 15” (Jupiter’s diameter is 30”, Great Red Spot is 13” diameter) [SCRD §3.7.6.1]</t>
  </si>
  <si>
    <t>If IFU FOV is only a few arc sec, desirable to be able to place different IFUs as close together as possible.  No firm numerical requirement.</t>
  </si>
  <si>
    <t>Moons are very bright: do not allow saturation.  Typical brightness: 5 mag per square arc sec.</t>
  </si>
  <si>
    <t>Either need to use neutral density filters, or have a fast shutter, or have a detector with large wells or very short exposure times (and low read noise).  Note: these observations will have high overhead.</t>
  </si>
  <si>
    <t>The following observing preparation tools are required: PSF simulation, target ephemeris, exposure time calculator to enable choice of ND filter and exposure time.</t>
  </si>
  <si>
    <t>The following data products are required: Calibrated PSF.</t>
  </si>
  <si>
    <t>Observing requirements: Io and Titan are time domain targets; Io requires ≤ 1 hr notification of volcano activity. Typical timescales for clouds on Titan are of order days to weeks.</t>
  </si>
  <si>
    <t>Jupiter &amp; Saturn: near-IR imager from 0.8-2.4 µm 
Io: IFU 0.8-2.4 µ 
Titan: IFU 0.8-2.4 µm</t>
  </si>
  <si>
    <t>Imager field of view 
≥ 30” diameter at K band, 
≥ 20” diameter at J and H bands (goal 30”)</t>
  </si>
  <si>
    <t>15.10</t>
  </si>
  <si>
    <t>Ice Giants</t>
  </si>
  <si>
    <r>
      <t>Capability of tracking a moving target</t>
    </r>
    <r>
      <rPr>
        <sz val="12"/>
        <rFont val="Times New Roman"/>
        <family val="1"/>
      </rPr>
      <t xml:space="preserve"> with rate up ≤ 5.0 arcseconds per hour (1.4 mas/sec) [SCRD §3.8.5.1]</t>
    </r>
  </si>
  <si>
    <t>Near-IR imager, 0.8 - 2.4  µm</t>
  </si>
  <si>
    <r>
      <t>Photometric accuracy:</t>
    </r>
    <r>
      <rPr>
        <sz val="12"/>
        <rFont val="Times New Roman"/>
        <family val="1"/>
      </rPr>
      <t xml:space="preserve"> comparable to the current Keck system [SCRD §3.8.4.5]</t>
    </r>
  </si>
  <si>
    <t>Near- IR imager</t>
  </si>
  <si>
    <r>
      <t>Targets:</t>
    </r>
    <r>
      <rPr>
        <sz val="12"/>
        <rFont val="Times New Roman"/>
        <family val="1"/>
      </rPr>
      <t xml:space="preserve"> Uranus and Neptune systems.  Observations of atmospheric vertical structure will require a near-IR IFU, to be described in more detail in a future release of the SCRD.</t>
    </r>
  </si>
  <si>
    <t>Near-IR imager, 0.8 – 2.4  µm, Near-IR IFU 1.0 – 2.4 µm</t>
  </si>
  <si>
    <r>
      <t>Observing wavelengths:</t>
    </r>
    <r>
      <rPr>
        <sz val="12"/>
        <rFont val="Times New Roman"/>
        <family val="1"/>
      </rPr>
      <t xml:space="preserve"> J, H, K [SCRD §3.8.6.5]</t>
    </r>
  </si>
  <si>
    <t>Near- IR imager, Near-IR IFU</t>
  </si>
  <si>
    <r>
      <t>Spatial sampling:</t>
    </r>
    <r>
      <rPr>
        <sz val="12"/>
        <rFont val="Times New Roman"/>
        <family val="1"/>
      </rPr>
      <t xml:space="preserve"> ≤ Nyquist at the observing wavelengths</t>
    </r>
  </si>
  <si>
    <t>Spatial sampling ≤ Nyquist at the observing wavelength</t>
  </si>
  <si>
    <r>
      <t>Imager field of view:</t>
    </r>
    <r>
      <rPr>
        <sz val="12"/>
        <rFont val="Times New Roman"/>
        <family val="1"/>
      </rPr>
      <t xml:space="preserve"> ≥ 15” diameter [SCRD §3.8.6.2]</t>
    </r>
  </si>
  <si>
    <t>AO system passes a &gt;15” unvignetted field of view</t>
  </si>
  <si>
    <t>Implement a single NIR IFU (tbd whether this is deployable) instead of the deployable multi-IFU</t>
  </si>
  <si>
    <t>Do not implement OSIRIS with NGAO.</t>
  </si>
  <si>
    <t>If we could pull in the schedule by 1 year during the detailed design we could save 3.5% of $54M or $2M.</t>
  </si>
  <si>
    <t>Should pursue collaboration with TMT and COO on the tip/tilt sensors, but should not count on this cost savings yet</t>
  </si>
  <si>
    <t>Look for opportunities to make procurements with other groups to save money.</t>
  </si>
  <si>
    <r>
      <t xml:space="preserve">Use single level cascaded relay design, </t>
    </r>
    <r>
      <rPr>
        <strike/>
        <sz val="10"/>
        <rFont val="Arial"/>
        <family val="2"/>
      </rPr>
      <t>including existing 349 actuator DM</t>
    </r>
  </si>
  <si>
    <t>This approach had been favored for an MCAO upgrade option.  
Single level allows the use of our spare Xinetics DM, but hysteresis is 30% at -15C.
Single level removes the 2nd tier cost.</t>
  </si>
  <si>
    <t>~$90k estimate for 2nd tier.
Estimate $20k for larger optics.
Add 25% contingency.
Inflated to FY12.</t>
  </si>
  <si>
    <t>Reduce total laser power from 100W to 75W.</t>
  </si>
  <si>
    <t>Above assumes IFU is fixed.  No $ included for deployable.</t>
  </si>
  <si>
    <t>Only implement 2 instead of 3 LGS WFS lenslet arrays (different subaperture sizes)</t>
  </si>
  <si>
    <t>Assume $25k savings (no solid basis).
Inflate to FY12.</t>
  </si>
  <si>
    <t>Additional Actions:</t>
  </si>
  <si>
    <t>Assumes NIR IFU will be more capable.
Places significant constraints on the design to reuse an existing instrument (physical layout + control).
Lose ability to multiplex, but would have to add cost to make either OSIRIS or IFU deployable.
Allows OSIRIS to be used on other telescope.
NOTE: Reconsider this if can lower combined cost of NIR IFU &amp; OSIRIS to meet the science needs.</t>
  </si>
  <si>
    <t>$14M d-IFU ROM in FY06 becomes ~$18M with inflation by FY12.
Not included in $M column since not included in current cost estimate.</t>
  </si>
  <si>
    <t>Total Savings ($M) =</t>
  </si>
  <si>
    <t>Imager fields of view ≥ 15”</t>
  </si>
  <si>
    <r>
      <t xml:space="preserve">IFU field of view: </t>
    </r>
    <r>
      <rPr>
        <sz val="12"/>
        <rFont val="Times New Roman"/>
        <family val="1"/>
      </rPr>
      <t>as large as possible, up to ≥ 15” diameter [SCRD §3.8.6.2]</t>
    </r>
  </si>
  <si>
    <r>
      <t xml:space="preserve">Spectral resolution: </t>
    </r>
    <r>
      <rPr>
        <sz val="12"/>
        <rFont val="Times New Roman"/>
        <family val="1"/>
      </rPr>
      <t>R ≥ 3000 to resolve methane absorption features. [SCRD §3.8.6.6]</t>
    </r>
  </si>
  <si>
    <t>Near-IR IFU with R~3000</t>
  </si>
  <si>
    <r>
      <t>Observing requirements:</t>
    </r>
    <r>
      <rPr>
        <sz val="12"/>
        <rFont val="Times New Roman"/>
        <family val="1"/>
      </rPr>
      <t xml:space="preserve"> one run per semester with at least 4 contiguous (partial) nights; both targets can be studied during one run</t>
    </r>
  </si>
  <si>
    <r>
      <t xml:space="preserve">The following </t>
    </r>
    <r>
      <rPr>
        <i/>
        <sz val="12"/>
        <rFont val="Times New Roman"/>
        <family val="1"/>
      </rPr>
      <t>observing preparation tools</t>
    </r>
    <r>
      <rPr>
        <sz val="12"/>
        <rFont val="Times New Roman"/>
        <family val="1"/>
      </rPr>
      <t xml:space="preserve"> are required: PSF simulation, target ephemeris, exposure time calculator to enable choice of ND filter and exposure time.</t>
    </r>
  </si>
  <si>
    <r>
      <t xml:space="preserve">The following </t>
    </r>
    <r>
      <rPr>
        <i/>
        <sz val="12"/>
        <rFont val="Times New Roman"/>
        <family val="1"/>
      </rPr>
      <t>data products</t>
    </r>
    <r>
      <rPr>
        <sz val="12"/>
        <rFont val="Times New Roman"/>
        <family val="1"/>
      </rPr>
      <t xml:space="preserve"> are required: Calibrated PSF.</t>
    </r>
  </si>
  <si>
    <r>
      <t>Observing requirements:</t>
    </r>
    <r>
      <rPr>
        <sz val="12"/>
        <rFont val="Times New Roman"/>
        <family val="1"/>
      </rPr>
      <t xml:space="preserve"> some science goals would be well suited to queue or service observing modes</t>
    </r>
  </si>
  <si>
    <t>• The planet can be used as tip/tilt guidestar (proper motion of ≤ 5.0 arcsec/hour). 
• The AO system requires sufficient field of view for planets and for their seeing disks (&gt;5 arcsec). 
• The tip-tilt residual error will be less than 10 mas (limited by resolved primary) while guiding on one planet at 5.0 arcsec/hr (1.4 mas/sec).</t>
  </si>
  <si>
    <t>AO system (both LGS and NGS) capable of correcting on extended objects. 
• Uranus = 3.4 arcsec 
• Neptune = 2.3 arcsec</t>
  </si>
  <si>
    <t>16.10</t>
  </si>
  <si>
    <t>Backup Science - NGS</t>
  </si>
  <si>
    <r>
      <t>NGS mode.</t>
    </r>
    <r>
      <rPr>
        <sz val="12"/>
        <rFont val="Times New Roman"/>
        <family val="1"/>
      </rPr>
      <t xml:space="preserve">  NGS as a backup observing mode for when conditions restrict propagation of the lasers.</t>
    </r>
  </si>
  <si>
    <r>
      <t>Sky coverage</t>
    </r>
    <r>
      <rPr>
        <sz val="12"/>
        <rFont val="Times New Roman"/>
        <family val="1"/>
      </rPr>
      <t xml:space="preserve"> ≥5% to ensure at least one-sixth of the off-axis LGS targets will still be observable if it is necessary to go to an NGS backup mode.</t>
    </r>
  </si>
  <si>
    <t>Capability to switch between NGS and LGS modes in ≤ 15 minutes (not including target acquisition) to enable flexibility if conditions change.</t>
  </si>
  <si>
    <r>
      <t>Sensitivity</t>
    </r>
    <r>
      <rPr>
        <sz val="12"/>
        <rFont val="Times New Roman"/>
        <family val="1"/>
      </rPr>
      <t>. SNR ≥ 10 for a z = 2.6 galaxy in an integration time ≤ 3 hours for a spectral resolution R = 3500 with a spatial resolution of 50 mas</t>
    </r>
  </si>
  <si>
    <t>Observing wavelengths =  J, H and K (to 2.4 µm)</t>
  </si>
  <si>
    <t>Infrared single IFU and imager designed for J, H, and K.</t>
  </si>
  <si>
    <r>
      <t>Spectral resolution</t>
    </r>
    <r>
      <rPr>
        <sz val="12"/>
        <rFont val="Times New Roman"/>
        <family val="1"/>
      </rPr>
      <t xml:space="preserve"> = 3000 to 4000</t>
    </r>
  </si>
  <si>
    <t>Spectral resolution of &gt;3000 in IFU</t>
  </si>
  <si>
    <r>
      <t>Imaging:</t>
    </r>
    <r>
      <rPr>
        <sz val="12"/>
        <rFont val="Times New Roman"/>
        <family val="1"/>
      </rPr>
      <t xml:space="preserve"> Nyquist sampled at H-band</t>
    </r>
  </si>
  <si>
    <t>Nyquist sampled IR imager (at H-band)</t>
  </si>
  <si>
    <t>Encircled energy 50% in 70 mas for a bright NGS guide star within 10 arc sec</t>
  </si>
  <si>
    <t>Optimum spaxel size will be determined during a detailed study of the IFU instrument.</t>
  </si>
  <si>
    <t>If a new instrument: IFU field of view ≥ 1” x 3” to allow simultaneous background measurements while observing a 1” galaxy.  OSIRIS FOV would be adequate.</t>
  </si>
  <si>
    <t>Narrow relay passes 1”x3” field</t>
  </si>
  <si>
    <t>Imager FOV ≥ 10” x 10” for galactic center and gravitational lensing science</t>
  </si>
  <si>
    <t>Imager FOV ≥ 10” x 10”</t>
  </si>
  <si>
    <t>Relative photometry to ≤ 5% for observations during a single night, provided the night is photometric</t>
  </si>
  <si>
    <t>Knowledge of ensquared energy in IFU spaxel to 5%.</t>
  </si>
  <si>
    <r>
      <t xml:space="preserve">Reduced flexibility in exchange for reduced procurement costs.
Reduced RTC &amp; operations complexity.
Reduced implementation, calibration, I&amp;T effort.
Need to evaluate performance impact.
</t>
    </r>
    <r>
      <rPr>
        <i/>
        <sz val="10"/>
        <color indexed="18"/>
        <rFont val="Arial"/>
        <family val="2"/>
      </rPr>
      <t>Could we go to just one lenslet array? (RD to evaluate; did 56 subap case - also look at 48 &amp; 64 vs laser power)</t>
    </r>
  </si>
  <si>
    <r>
      <t xml:space="preserve">No vis imager or OSIRIS means two less dichroics/mirrors &amp; mounts.
Also need to investigate whether other reductions are possible (e.g., fewer dichroic mechanisms &amp; options).
</t>
    </r>
    <r>
      <rPr>
        <i/>
        <sz val="10"/>
        <color indexed="18"/>
        <rFont val="Arial"/>
        <family val="2"/>
      </rPr>
      <t>Evaluate if switchyard mechanism needed for NIR IFU (DG).</t>
    </r>
  </si>
  <si>
    <r>
      <t xml:space="preserve">$2.241M budgeted for RTC.  Assume 2% reduction.
$364k for FPGAs.  Assume $100k savings.
$2.5k for LGS WFS interface boards.  Assume 2 gone.
Inflate to FY12.
</t>
    </r>
    <r>
      <rPr>
        <i/>
        <sz val="10"/>
        <color indexed="18"/>
        <rFont val="Arial"/>
        <family val="2"/>
      </rPr>
      <t>DG to review this estimate.</t>
    </r>
  </si>
  <si>
    <t xml:space="preserve">Evaluate combining (or separating) science instrument capabilities for lower cost (SA).  For example, combining NIR imager &amp; IFU. </t>
  </si>
  <si>
    <t>Confidence level in NIR IFU cost estimate is low.  Develop better cost estimate (SA).</t>
  </si>
  <si>
    <t>Need clarifications on science priorities from KSP &amp; relative priorities (CM).</t>
  </si>
  <si>
    <t>Evaluate feasible of extending NIR instruments, especially imager, to I-band (SA).</t>
  </si>
  <si>
    <t>Consider only using PNS lasers for tip/tilt stars (separate AO systems).  Similarly fixed asterism is only used for laser tomography over the central science field.  (DG,RD)
Result: Simpler RTC, especially a reduction in the tomography volume (number of processors directly proportional to volume). Could also allow us to put some of PNS laser power back into central asterism.</t>
  </si>
  <si>
    <t>$527k budgeted for the NGS/TWFS assembly. 
$45k budgeted for vis TWFS detector vs $100k for NIR det.
Assume that 35% of budget is for TWFS.
Inflated to FY11 since includes design work.</t>
  </si>
  <si>
    <t>Consider proceeding with early launch telescope implementation even if not funded by MRI (PW).</t>
  </si>
  <si>
    <t>Should be able to initially center a galaxy to ≤ 10% of science field of view</t>
  </si>
  <si>
    <t>Should know the relative position of the galaxy to ≤ 20% of spaxel or pixel size</t>
  </si>
  <si>
    <t>The following observing preparation tools are required: NGS guide star finding tool; PSF simulation and exposure time calculator</t>
  </si>
  <si>
    <r>
      <t xml:space="preserve">Assuming </t>
    </r>
    <r>
      <rPr>
        <i/>
        <sz val="12"/>
        <rFont val="Times New Roman"/>
        <family val="1"/>
      </rPr>
      <t>b=30º,
For 5% sky coverage: 
R=14 mag guide star with 60” diameter field of regard (FOR) 
R=15 mag guide star with 45” diameter FOR 
[Keck Observatory Report No. 208, p. 4-100]</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</si>
</sst>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_(&quot;$&quot;* #,##0.0_);_(&quot;$&quot;* \(#,##0.0\);_(&quot;$&quot;* &quot;-&quot;?_);_(@_)"/>
    <numFmt numFmtId="171" formatCode="0.0%"/>
  </numFmts>
  <fonts count="32">
    <font>
      <sz val="10"/>
      <name val="Arial"/>
      <family val="0"/>
    </font>
    <font>
      <sz val="8"/>
      <name val="Arial"/>
      <family val="0"/>
    </font>
    <font>
      <u val="single"/>
      <sz val="10"/>
      <color indexed="36"/>
      <name val="Arial"/>
      <family val="0"/>
    </font>
    <font>
      <u val="single"/>
      <sz val="10"/>
      <color indexed="12"/>
      <name val="Arial"/>
      <family val="0"/>
    </font>
    <font>
      <sz val="10"/>
      <color indexed="8"/>
      <name val="Arial"/>
      <family val="2"/>
    </font>
    <font>
      <b/>
      <sz val="10"/>
      <name val="Arial"/>
      <family val="0"/>
    </font>
    <font>
      <b/>
      <sz val="10"/>
      <color indexed="8"/>
      <name val="Arial"/>
      <family val="0"/>
    </font>
    <font>
      <sz val="12"/>
      <name val="Times New Roman"/>
      <family val="1"/>
    </font>
    <font>
      <i/>
      <sz val="12"/>
      <name val="Times New Roman"/>
      <family val="1"/>
    </font>
    <font>
      <vertAlign val="superscript"/>
      <sz val="12"/>
      <name val="Times New Roman"/>
      <family val="1"/>
    </font>
    <font>
      <b/>
      <sz val="12"/>
      <name val="Times New Roman"/>
      <family val="1"/>
    </font>
    <font>
      <b/>
      <i/>
      <sz val="12"/>
      <name val="Times New Roman"/>
      <family val="1"/>
    </font>
    <font>
      <vertAlign val="subscript"/>
      <sz val="12"/>
      <name val="Times New Roman"/>
      <family val="1"/>
    </font>
    <font>
      <sz val="12"/>
      <name val="Symbol"/>
      <family val="1"/>
    </font>
    <font>
      <sz val="12"/>
      <name val="MS Mincho"/>
      <family val="3"/>
    </font>
    <font>
      <sz val="12"/>
      <color indexed="8"/>
      <name val="Times New Roman"/>
      <family val="1"/>
    </font>
    <font>
      <i/>
      <sz val="12"/>
      <color indexed="8"/>
      <name val="Times New Roman"/>
      <family val="1"/>
    </font>
    <font>
      <sz val="12"/>
      <color indexed="8"/>
      <name val="Symbol"/>
      <family val="1"/>
    </font>
    <font>
      <b/>
      <i/>
      <sz val="10"/>
      <name val="Arial"/>
      <family val="2"/>
    </font>
    <font>
      <i/>
      <sz val="10"/>
      <name val="Arial"/>
      <family val="0"/>
    </font>
    <font>
      <sz val="8"/>
      <name val="Tahoma"/>
      <family val="0"/>
    </font>
    <font>
      <b/>
      <sz val="8"/>
      <name val="Tahoma"/>
      <family val="0"/>
    </font>
    <font>
      <b/>
      <sz val="11.75"/>
      <name val="Arial"/>
      <family val="0"/>
    </font>
    <font>
      <sz val="9.75"/>
      <name val="Arial"/>
      <family val="0"/>
    </font>
    <font>
      <b/>
      <sz val="11.5"/>
      <name val="Arial"/>
      <family val="0"/>
    </font>
    <font>
      <b/>
      <sz val="9.75"/>
      <name val="Arial"/>
      <family val="0"/>
    </font>
    <font>
      <strike/>
      <sz val="10"/>
      <name val="Arial"/>
      <family val="2"/>
    </font>
    <font>
      <i/>
      <sz val="10"/>
      <color indexed="18"/>
      <name val="Arial"/>
      <family val="2"/>
    </font>
    <font>
      <sz val="10"/>
      <color indexed="18"/>
      <name val="Arial"/>
      <family val="2"/>
    </font>
    <font>
      <sz val="8.5"/>
      <name val="Arial"/>
      <family val="0"/>
    </font>
    <font>
      <b/>
      <sz val="8.5"/>
      <name val="Arial"/>
      <family val="0"/>
    </font>
    <font>
      <b/>
      <sz val="8"/>
      <name val="Arial"/>
      <family val="2"/>
    </font>
  </fonts>
  <fills count="8">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57"/>
        <bgColor indexed="64"/>
      </patternFill>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style="double"/>
      <right style="thin"/>
      <top>
        <color indexed="63"/>
      </top>
      <bottom style="thin"/>
    </border>
    <border>
      <left style="double"/>
      <right style="thin"/>
      <top>
        <color indexed="63"/>
      </top>
      <bottom>
        <color indexed="63"/>
      </bottom>
    </border>
    <border>
      <left style="double"/>
      <right>
        <color indexed="63"/>
      </right>
      <top>
        <color indexed="63"/>
      </top>
      <bottom style="thin"/>
    </border>
    <border>
      <left style="double"/>
      <right>
        <color indexed="63"/>
      </right>
      <top>
        <color indexed="63"/>
      </top>
      <bottom>
        <color indexed="63"/>
      </bottom>
    </border>
    <border>
      <left style="double"/>
      <right>
        <color indexed="63"/>
      </right>
      <top style="thin"/>
      <bottom style="thin"/>
    </border>
    <border>
      <left style="double"/>
      <right style="thin"/>
      <top style="thin"/>
      <bottom style="thin"/>
    </border>
    <border>
      <left>
        <color indexed="63"/>
      </left>
      <right style="double"/>
      <top>
        <color indexed="63"/>
      </top>
      <bottom>
        <color indexed="63"/>
      </bottom>
    </border>
    <border>
      <left style="thin"/>
      <right style="double"/>
      <top>
        <color indexed="63"/>
      </top>
      <bottom style="thin"/>
    </border>
    <border>
      <left style="thin"/>
      <right style="double"/>
      <top>
        <color indexed="63"/>
      </top>
      <bottom>
        <color indexed="63"/>
      </bottom>
    </border>
    <border>
      <left style="thin"/>
      <right style="double"/>
      <top style="thin"/>
      <bottom style="thin"/>
    </border>
    <border>
      <left style="double"/>
      <right style="double"/>
      <top>
        <color indexed="63"/>
      </top>
      <bottom style="thin"/>
    </border>
    <border>
      <left style="double"/>
      <right style="double"/>
      <top>
        <color indexed="63"/>
      </top>
      <bottom>
        <color indexed="63"/>
      </bottom>
    </border>
    <border>
      <left style="double"/>
      <right style="double"/>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61">
    <xf numFmtId="0" fontId="0" fillId="0" borderId="0" xfId="0" applyAlignment="1">
      <alignment/>
    </xf>
    <xf numFmtId="0" fontId="0" fillId="0" borderId="0" xfId="0" applyAlignment="1">
      <alignment horizontal="center"/>
    </xf>
    <xf numFmtId="0" fontId="0" fillId="0" borderId="0" xfId="0" applyAlignment="1">
      <alignment wrapText="1"/>
    </xf>
    <xf numFmtId="0" fontId="5" fillId="0" borderId="0" xfId="0" applyFont="1" applyFill="1" applyBorder="1" applyAlignment="1">
      <alignment/>
    </xf>
    <xf numFmtId="0" fontId="5" fillId="0" borderId="0" xfId="0" applyFont="1" applyBorder="1" applyAlignment="1">
      <alignment/>
    </xf>
    <xf numFmtId="0" fontId="5" fillId="0" borderId="0" xfId="0" applyFont="1" applyAlignment="1">
      <alignment horizontal="center"/>
    </xf>
    <xf numFmtId="0" fontId="5" fillId="0" borderId="0" xfId="0" applyFont="1" applyFill="1" applyBorder="1" applyAlignment="1">
      <alignment horizontal="center"/>
    </xf>
    <xf numFmtId="0" fontId="5" fillId="0" borderId="0" xfId="0" applyFont="1" applyBorder="1" applyAlignment="1">
      <alignment horizontal="center"/>
    </xf>
    <xf numFmtId="0" fontId="6" fillId="2" borderId="0" xfId="21" applyFont="1" applyFill="1" applyBorder="1" applyAlignment="1">
      <alignment/>
      <protection/>
    </xf>
    <xf numFmtId="0" fontId="6" fillId="3" borderId="0" xfId="21" applyFont="1" applyFill="1" applyBorder="1" applyAlignment="1">
      <alignment/>
      <protection/>
    </xf>
    <xf numFmtId="0" fontId="0" fillId="2" borderId="0" xfId="0" applyFill="1" applyAlignment="1">
      <alignment/>
    </xf>
    <xf numFmtId="9" fontId="0" fillId="2" borderId="0" xfId="22" applyFill="1" applyAlignment="1">
      <alignment/>
    </xf>
    <xf numFmtId="1" fontId="5" fillId="2" borderId="0" xfId="0" applyNumberFormat="1" applyFont="1" applyFill="1" applyAlignment="1">
      <alignment/>
    </xf>
    <xf numFmtId="0" fontId="4" fillId="0" borderId="0" xfId="21" applyFont="1" applyFill="1" applyBorder="1" applyAlignment="1">
      <alignment/>
      <protection/>
    </xf>
    <xf numFmtId="1" fontId="0" fillId="0" borderId="0" xfId="0" applyNumberFormat="1" applyFill="1" applyAlignment="1">
      <alignment/>
    </xf>
    <xf numFmtId="164" fontId="0" fillId="0" borderId="0" xfId="0" applyNumberFormat="1" applyFill="1" applyAlignment="1">
      <alignment/>
    </xf>
    <xf numFmtId="9" fontId="0" fillId="0" borderId="0" xfId="0" applyNumberFormat="1" applyFill="1" applyAlignment="1">
      <alignment/>
    </xf>
    <xf numFmtId="0" fontId="0" fillId="0" borderId="0" xfId="0" applyFill="1" applyAlignment="1">
      <alignment/>
    </xf>
    <xf numFmtId="0" fontId="0" fillId="0" borderId="0" xfId="0" applyFill="1" applyBorder="1" applyAlignment="1">
      <alignment/>
    </xf>
    <xf numFmtId="0" fontId="4" fillId="0" borderId="0" xfId="21" applyFont="1" applyFill="1" applyBorder="1" applyAlignment="1">
      <alignment/>
      <protection/>
    </xf>
    <xf numFmtId="1" fontId="0" fillId="0" borderId="0" xfId="0" applyNumberFormat="1" applyAlignment="1">
      <alignment/>
    </xf>
    <xf numFmtId="164" fontId="0" fillId="0" borderId="0" xfId="0" applyNumberFormat="1" applyAlignment="1">
      <alignment/>
    </xf>
    <xf numFmtId="9" fontId="0" fillId="0" borderId="0" xfId="0" applyNumberFormat="1" applyAlignment="1">
      <alignment/>
    </xf>
    <xf numFmtId="0" fontId="4" fillId="0" borderId="0" xfId="21" applyFont="1" applyFill="1" applyBorder="1" applyAlignment="1">
      <alignment horizontal="right"/>
      <protection/>
    </xf>
    <xf numFmtId="0" fontId="4" fillId="0" borderId="0" xfId="21" applyFont="1" applyFill="1" applyBorder="1" applyAlignment="1" quotePrefix="1">
      <alignment horizontal="right"/>
      <protection/>
    </xf>
    <xf numFmtId="0" fontId="5" fillId="2" borderId="0" xfId="0" applyFont="1" applyFill="1" applyAlignment="1">
      <alignment/>
    </xf>
    <xf numFmtId="0" fontId="0" fillId="0" borderId="0" xfId="0" applyFill="1" applyBorder="1" applyAlignment="1">
      <alignment horizontal="right"/>
    </xf>
    <xf numFmtId="0" fontId="0" fillId="0" borderId="0" xfId="0" applyFill="1" applyBorder="1" applyAlignment="1">
      <alignment/>
    </xf>
    <xf numFmtId="0" fontId="6" fillId="0" borderId="0" xfId="21" applyFont="1" applyFill="1" applyBorder="1" applyAlignment="1">
      <alignment horizontal="right"/>
      <protection/>
    </xf>
    <xf numFmtId="9" fontId="5" fillId="2" borderId="0" xfId="22" applyFont="1" applyFill="1" applyAlignment="1">
      <alignment/>
    </xf>
    <xf numFmtId="0" fontId="10" fillId="0" borderId="0" xfId="0" applyFont="1" applyBorder="1" applyAlignment="1">
      <alignment horizontal="center" vertical="top" wrapText="1"/>
    </xf>
    <xf numFmtId="0" fontId="11" fillId="0" borderId="0" xfId="0" applyFont="1" applyBorder="1" applyAlignment="1">
      <alignment horizontal="center" vertical="top" wrapText="1"/>
    </xf>
    <xf numFmtId="0" fontId="7" fillId="0" borderId="0" xfId="0" applyFont="1" applyBorder="1" applyAlignment="1">
      <alignment horizontal="justify" vertical="top" wrapText="1"/>
    </xf>
    <xf numFmtId="0" fontId="8"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xf>
    <xf numFmtId="0" fontId="7" fillId="0" borderId="0" xfId="0" applyFont="1" applyBorder="1" applyAlignment="1" quotePrefix="1">
      <alignment horizontal="justify" vertical="top" wrapText="1"/>
    </xf>
    <xf numFmtId="2" fontId="7" fillId="0" borderId="0" xfId="0" applyNumberFormat="1" applyFont="1" applyBorder="1" applyAlignment="1">
      <alignment horizontal="justify" vertical="top" wrapText="1"/>
    </xf>
    <xf numFmtId="0" fontId="5" fillId="0" borderId="0" xfId="0" applyFont="1" applyAlignment="1">
      <alignment/>
    </xf>
    <xf numFmtId="0" fontId="7" fillId="0" borderId="0" xfId="0" applyFont="1" applyBorder="1" applyAlignment="1">
      <alignment vertical="top" wrapText="1"/>
    </xf>
    <xf numFmtId="0" fontId="0" fillId="0" borderId="0" xfId="0" applyBorder="1" applyAlignment="1">
      <alignment/>
    </xf>
    <xf numFmtId="0" fontId="10" fillId="0" borderId="0" xfId="0" applyFont="1" applyFill="1" applyBorder="1" applyAlignment="1">
      <alignment horizontal="left" vertical="top"/>
    </xf>
    <xf numFmtId="2" fontId="7" fillId="0" borderId="0" xfId="0" applyNumberFormat="1" applyFont="1" applyBorder="1" applyAlignment="1">
      <alignment horizontal="left" vertical="top" wrapText="1"/>
    </xf>
    <xf numFmtId="0" fontId="7" fillId="0" borderId="0" xfId="0" applyFont="1" applyBorder="1" applyAlignment="1" quotePrefix="1">
      <alignment horizontal="left" vertical="top" wrapText="1"/>
    </xf>
    <xf numFmtId="1" fontId="10" fillId="0" borderId="0" xfId="0" applyNumberFormat="1" applyFont="1" applyFill="1" applyBorder="1" applyAlignment="1">
      <alignment horizontal="left" vertical="top" wrapText="1"/>
    </xf>
    <xf numFmtId="0" fontId="15" fillId="0" borderId="0" xfId="0" applyFont="1" applyBorder="1" applyAlignment="1">
      <alignment horizontal="justify" vertical="top" wrapText="1"/>
    </xf>
    <xf numFmtId="0" fontId="15" fillId="0" borderId="0" xfId="0" applyFont="1" applyBorder="1" applyAlignment="1">
      <alignment horizontal="left" vertical="top" wrapText="1"/>
    </xf>
    <xf numFmtId="0" fontId="10" fillId="0" borderId="0" xfId="0" applyFont="1" applyFill="1" applyBorder="1" applyAlignment="1">
      <alignment horizontal="center" vertical="top" wrapText="1"/>
    </xf>
    <xf numFmtId="0" fontId="5" fillId="0" borderId="0" xfId="0" applyFont="1" applyAlignment="1">
      <alignment wrapText="1"/>
    </xf>
    <xf numFmtId="0" fontId="5" fillId="0" borderId="0" xfId="0" applyFont="1" applyAlignment="1">
      <alignment wrapText="1"/>
    </xf>
    <xf numFmtId="0" fontId="11" fillId="0" borderId="0" xfId="0" applyFont="1" applyFill="1" applyBorder="1" applyAlignment="1">
      <alignment vertical="top"/>
    </xf>
    <xf numFmtId="0" fontId="11" fillId="0" borderId="0" xfId="0" applyFont="1" applyFill="1" applyBorder="1" applyAlignment="1">
      <alignment horizontal="left" vertical="top" wrapText="1"/>
    </xf>
    <xf numFmtId="0" fontId="18" fillId="0" borderId="0" xfId="0" applyFont="1" applyBorder="1" applyAlignment="1">
      <alignment horizontal="center"/>
    </xf>
    <xf numFmtId="0" fontId="11" fillId="0" borderId="0" xfId="0" applyFont="1" applyFill="1" applyBorder="1" applyAlignment="1">
      <alignment horizontal="left" vertical="top"/>
    </xf>
    <xf numFmtId="1" fontId="11" fillId="0" borderId="0" xfId="0" applyNumberFormat="1" applyFont="1" applyFill="1" applyBorder="1" applyAlignment="1">
      <alignment horizontal="left" vertical="top" wrapText="1"/>
    </xf>
    <xf numFmtId="0" fontId="19" fillId="0" borderId="0" xfId="0" applyFont="1" applyBorder="1" applyAlignment="1">
      <alignment/>
    </xf>
    <xf numFmtId="0" fontId="19" fillId="0" borderId="0" xfId="0" applyFont="1" applyAlignment="1">
      <alignment wrapText="1"/>
    </xf>
    <xf numFmtId="0" fontId="19" fillId="0" borderId="0" xfId="0" applyFont="1" applyAlignment="1">
      <alignment/>
    </xf>
    <xf numFmtId="0" fontId="18" fillId="0" borderId="0" xfId="0" applyFont="1" applyBorder="1" applyAlignment="1">
      <alignment/>
    </xf>
    <xf numFmtId="0" fontId="18" fillId="0" borderId="0" xfId="0" applyFont="1" applyAlignment="1">
      <alignment wrapText="1"/>
    </xf>
    <xf numFmtId="0" fontId="18" fillId="0" borderId="0" xfId="0" applyFont="1" applyAlignment="1">
      <alignment/>
    </xf>
    <xf numFmtId="0" fontId="11" fillId="0" borderId="0" xfId="0" applyFont="1" applyFill="1" applyBorder="1" applyAlignment="1">
      <alignment vertical="top" wrapText="1"/>
    </xf>
    <xf numFmtId="1" fontId="11" fillId="0" borderId="0" xfId="0" applyNumberFormat="1" applyFont="1" applyFill="1" applyBorder="1" applyAlignment="1">
      <alignment horizontal="justify" vertical="top" wrapText="1"/>
    </xf>
    <xf numFmtId="0" fontId="11" fillId="0" borderId="0" xfId="0" applyFont="1" applyBorder="1" applyAlignment="1">
      <alignment horizontal="justify" vertical="top" wrapText="1"/>
    </xf>
    <xf numFmtId="0" fontId="5" fillId="0" borderId="0" xfId="0" applyFont="1" applyAlignment="1">
      <alignment horizontal="center"/>
    </xf>
    <xf numFmtId="0" fontId="5" fillId="0" borderId="0" xfId="0" applyFont="1" applyAlignment="1">
      <alignment/>
    </xf>
    <xf numFmtId="0" fontId="0" fillId="0" borderId="0" xfId="0" applyAlignment="1">
      <alignment horizontal="center" wrapText="1"/>
    </xf>
    <xf numFmtId="42" fontId="0" fillId="0" borderId="0" xfId="0" applyNumberFormat="1" applyAlignment="1">
      <alignment/>
    </xf>
    <xf numFmtId="0" fontId="0" fillId="0" borderId="1" xfId="0" applyBorder="1" applyAlignment="1">
      <alignment/>
    </xf>
    <xf numFmtId="0" fontId="5" fillId="0" borderId="1" xfId="0" applyFont="1" applyBorder="1" applyAlignment="1">
      <alignment/>
    </xf>
    <xf numFmtId="42" fontId="0" fillId="0" borderId="1" xfId="0" applyNumberFormat="1" applyBorder="1" applyAlignment="1">
      <alignment/>
    </xf>
    <xf numFmtId="0" fontId="5" fillId="0" borderId="2" xfId="0" applyFont="1" applyBorder="1" applyAlignment="1">
      <alignment/>
    </xf>
    <xf numFmtId="0" fontId="0" fillId="0" borderId="2" xfId="0" applyBorder="1" applyAlignment="1">
      <alignment/>
    </xf>
    <xf numFmtId="42" fontId="0" fillId="0" borderId="2" xfId="0" applyNumberForma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xf>
    <xf numFmtId="42" fontId="0" fillId="0" borderId="0" xfId="0" applyNumberFormat="1" applyBorder="1" applyAlignment="1">
      <alignment/>
    </xf>
    <xf numFmtId="0" fontId="0" fillId="0" borderId="9" xfId="0" applyBorder="1" applyAlignment="1">
      <alignment/>
    </xf>
    <xf numFmtId="0" fontId="5" fillId="0" borderId="0" xfId="0" applyFont="1" applyBorder="1" applyAlignment="1">
      <alignment/>
    </xf>
    <xf numFmtId="0" fontId="0" fillId="4" borderId="6" xfId="0" applyFill="1" applyBorder="1" applyAlignment="1">
      <alignment/>
    </xf>
    <xf numFmtId="0" fontId="0" fillId="4" borderId="9" xfId="0" applyFill="1" applyBorder="1" applyAlignment="1">
      <alignment/>
    </xf>
    <xf numFmtId="0" fontId="0" fillId="5" borderId="6" xfId="0" applyFill="1" applyBorder="1" applyAlignment="1">
      <alignment/>
    </xf>
    <xf numFmtId="0" fontId="0" fillId="5" borderId="9" xfId="0" applyFill="1" applyBorder="1" applyAlignment="1">
      <alignment/>
    </xf>
    <xf numFmtId="0" fontId="0" fillId="6" borderId="6" xfId="0" applyFill="1" applyBorder="1" applyAlignment="1">
      <alignment/>
    </xf>
    <xf numFmtId="0" fontId="0" fillId="6" borderId="9" xfId="0" applyFill="1" applyBorder="1" applyAlignment="1">
      <alignment/>
    </xf>
    <xf numFmtId="0" fontId="0" fillId="0" borderId="10" xfId="0" applyBorder="1" applyAlignment="1">
      <alignment/>
    </xf>
    <xf numFmtId="42" fontId="0" fillId="0" borderId="11" xfId="0" applyNumberFormat="1" applyBorder="1" applyAlignment="1">
      <alignment/>
    </xf>
    <xf numFmtId="42" fontId="0" fillId="0" borderId="10" xfId="0" applyNumberFormat="1" applyBorder="1" applyAlignment="1">
      <alignment/>
    </xf>
    <xf numFmtId="42"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5" xfId="0" applyBorder="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5" fillId="0" borderId="0" xfId="0" applyFont="1" applyAlignment="1">
      <alignment/>
    </xf>
    <xf numFmtId="14" fontId="0" fillId="0" borderId="0" xfId="0" applyNumberFormat="1" applyAlignment="1">
      <alignment/>
    </xf>
    <xf numFmtId="0" fontId="5" fillId="0" borderId="0" xfId="0" applyFont="1" applyAlignment="1">
      <alignment horizontal="right"/>
    </xf>
    <xf numFmtId="0" fontId="0" fillId="0" borderId="0" xfId="0" applyFont="1" applyAlignment="1">
      <alignment horizontal="left"/>
    </xf>
    <xf numFmtId="1" fontId="5" fillId="0" borderId="0" xfId="0" applyNumberFormat="1" applyFont="1" applyAlignment="1">
      <alignment/>
    </xf>
    <xf numFmtId="0" fontId="0" fillId="0" borderId="0" xfId="0" applyAlignment="1">
      <alignment horizontal="right" wrapText="1"/>
    </xf>
    <xf numFmtId="164" fontId="0" fillId="0" borderId="0" xfId="0" applyNumberFormat="1" applyAlignment="1">
      <alignment wrapText="1"/>
    </xf>
    <xf numFmtId="0" fontId="0" fillId="0" borderId="0" xfId="0" applyFill="1" applyAlignment="1">
      <alignment wrapText="1"/>
    </xf>
    <xf numFmtId="0" fontId="5" fillId="0" borderId="0" xfId="0" applyFont="1" applyAlignment="1">
      <alignment horizontal="right" wrapText="1"/>
    </xf>
    <xf numFmtId="0" fontId="0" fillId="0" borderId="0" xfId="0" applyFill="1" applyAlignment="1">
      <alignment horizontal="center"/>
    </xf>
    <xf numFmtId="0" fontId="0" fillId="0" borderId="0" xfId="0" applyFill="1" applyAlignment="1">
      <alignment horizontal="center" wrapText="1"/>
    </xf>
    <xf numFmtId="164" fontId="5" fillId="0" borderId="0" xfId="0" applyNumberFormat="1" applyFont="1" applyAlignment="1">
      <alignment wrapText="1"/>
    </xf>
    <xf numFmtId="0" fontId="0" fillId="2" borderId="0" xfId="0" applyFill="1" applyAlignment="1">
      <alignment horizontal="center"/>
    </xf>
    <xf numFmtId="0" fontId="0" fillId="2" borderId="0" xfId="0" applyFill="1" applyAlignment="1">
      <alignment wrapText="1"/>
    </xf>
    <xf numFmtId="164" fontId="0" fillId="2" borderId="0" xfId="0" applyNumberFormat="1" applyFill="1" applyAlignment="1">
      <alignment wrapText="1"/>
    </xf>
    <xf numFmtId="0" fontId="0" fillId="0" borderId="0" xfId="0" applyAlignment="1">
      <alignment/>
    </xf>
    <xf numFmtId="171" fontId="0" fillId="0" borderId="0" xfId="0" applyNumberFormat="1" applyAlignment="1">
      <alignment/>
    </xf>
    <xf numFmtId="0" fontId="0" fillId="0" borderId="0" xfId="0" applyFont="1" applyAlignment="1">
      <alignment wrapText="1"/>
    </xf>
    <xf numFmtId="0" fontId="0" fillId="0" borderId="0" xfId="0" applyFont="1" applyAlignment="1">
      <alignment wrapText="1"/>
    </xf>
    <xf numFmtId="0" fontId="0" fillId="0" borderId="16" xfId="0" applyBorder="1" applyAlignment="1">
      <alignment/>
    </xf>
    <xf numFmtId="0" fontId="5" fillId="0" borderId="16" xfId="0" applyFont="1" applyBorder="1" applyAlignment="1">
      <alignment wrapText="1"/>
    </xf>
    <xf numFmtId="0" fontId="0" fillId="0" borderId="16" xfId="0" applyBorder="1" applyAlignment="1">
      <alignment horizontal="center"/>
    </xf>
    <xf numFmtId="0" fontId="0" fillId="0" borderId="16" xfId="0" applyBorder="1" applyAlignment="1">
      <alignment wrapText="1"/>
    </xf>
    <xf numFmtId="0" fontId="5" fillId="0" borderId="16" xfId="0" applyFont="1" applyBorder="1" applyAlignment="1">
      <alignment horizontal="left"/>
    </xf>
    <xf numFmtId="0" fontId="0" fillId="0" borderId="16" xfId="0" applyBorder="1" applyAlignment="1">
      <alignment/>
    </xf>
    <xf numFmtId="0" fontId="5" fillId="0" borderId="16" xfId="0" applyFont="1" applyBorder="1" applyAlignment="1">
      <alignment horizontal="center"/>
    </xf>
    <xf numFmtId="0" fontId="0" fillId="0" borderId="16" xfId="0" applyBorder="1" applyAlignment="1">
      <alignment horizontal="left"/>
    </xf>
    <xf numFmtId="0" fontId="0" fillId="0" borderId="16" xfId="0" applyBorder="1" applyAlignment="1">
      <alignment horizontal="center" wrapText="1"/>
    </xf>
    <xf numFmtId="0" fontId="5" fillId="0" borderId="16" xfId="0" applyFont="1" applyBorder="1" applyAlignment="1">
      <alignment horizontal="center" wrapText="1"/>
    </xf>
    <xf numFmtId="164" fontId="5" fillId="0" borderId="16" xfId="0" applyNumberFormat="1" applyFont="1" applyBorder="1" applyAlignment="1">
      <alignment horizontal="center"/>
    </xf>
    <xf numFmtId="164" fontId="0" fillId="0" borderId="16" xfId="0" applyNumberFormat="1" applyBorder="1" applyAlignment="1">
      <alignment horizontal="center"/>
    </xf>
    <xf numFmtId="0" fontId="0" fillId="7" borderId="16" xfId="0" applyFill="1" applyBorder="1" applyAlignment="1">
      <alignment/>
    </xf>
    <xf numFmtId="0" fontId="0" fillId="5" borderId="16" xfId="0" applyFill="1" applyBorder="1" applyAlignment="1">
      <alignment/>
    </xf>
    <xf numFmtId="0" fontId="15" fillId="0" borderId="0" xfId="0" applyFont="1" applyBorder="1" applyAlignment="1">
      <alignment horizontal="left" vertical="top" wrapText="1"/>
    </xf>
    <xf numFmtId="0" fontId="11" fillId="0" borderId="0" xfId="0" applyFont="1" applyBorder="1" applyAlignment="1">
      <alignment horizontal="justify" vertical="top"/>
    </xf>
    <xf numFmtId="0" fontId="19" fillId="0" borderId="0" xfId="0" applyFont="1" applyAlignment="1">
      <alignment horizontal="justify" vertical="top"/>
    </xf>
    <xf numFmtId="0" fontId="15" fillId="0" borderId="0" xfId="0" applyFont="1" applyBorder="1" applyAlignment="1">
      <alignment horizontal="justify" vertical="top" wrapText="1"/>
    </xf>
    <xf numFmtId="0" fontId="5" fillId="0" borderId="0" xfId="0" applyFont="1" applyAlignment="1">
      <alignment horizontal="center"/>
    </xf>
    <xf numFmtId="0" fontId="0" fillId="0" borderId="0" xfId="0" applyAlignment="1">
      <alignment wrapText="1"/>
    </xf>
    <xf numFmtId="0" fontId="0" fillId="0" borderId="0" xfId="0" applyAlignment="1">
      <alignment/>
    </xf>
    <xf numFmtId="0" fontId="0" fillId="0" borderId="0" xfId="0" applyFont="1" applyAlignment="1">
      <alignment wrapText="1"/>
    </xf>
    <xf numFmtId="0" fontId="5" fillId="0" borderId="0" xfId="0" applyFont="1" applyAlignment="1">
      <alignment wrapText="1"/>
    </xf>
    <xf numFmtId="0" fontId="5" fillId="0" borderId="0" xfId="0" applyFont="1" applyAlignment="1">
      <alignment horizontal="left"/>
    </xf>
    <xf numFmtId="0" fontId="0" fillId="0" borderId="0" xfId="0" applyFill="1" applyBorder="1" applyAlignment="1">
      <alignment wrapText="1"/>
    </xf>
    <xf numFmtId="0" fontId="27" fillId="0" borderId="0" xfId="0" applyFont="1" applyAlignment="1">
      <alignment wrapText="1"/>
    </xf>
    <xf numFmtId="0" fontId="0" fillId="0" borderId="0" xfId="0" applyFont="1" applyFill="1" applyBorder="1" applyAlignment="1">
      <alignment wrapText="1"/>
    </xf>
    <xf numFmtId="0" fontId="28" fillId="0" borderId="0" xfId="0" applyFont="1" applyFill="1" applyBorder="1" applyAlignment="1">
      <alignment wrapText="1"/>
    </xf>
    <xf numFmtId="0" fontId="27" fillId="0" borderId="0" xfId="0" applyFont="1" applyFill="1" applyBorder="1" applyAlignment="1">
      <alignment wrapText="1"/>
    </xf>
    <xf numFmtId="0" fontId="0" fillId="0" borderId="17" xfId="0" applyBorder="1" applyAlignment="1">
      <alignment horizontal="center"/>
    </xf>
    <xf numFmtId="0" fontId="0" fillId="0" borderId="2" xfId="0" applyBorder="1" applyAlignment="1">
      <alignment horizontal="center"/>
    </xf>
    <xf numFmtId="0" fontId="0" fillId="0" borderId="18" xfId="0" applyBorder="1" applyAlignment="1">
      <alignment horizontal="center"/>
    </xf>
    <xf numFmtId="0" fontId="0" fillId="0" borderId="17" xfId="0" applyBorder="1" applyAlignment="1">
      <alignment horizontal="center" wrapText="1"/>
    </xf>
    <xf numFmtId="0" fontId="0" fillId="0" borderId="2" xfId="0" applyBorder="1" applyAlignment="1">
      <alignment/>
    </xf>
    <xf numFmtId="0" fontId="0" fillId="0" borderId="18" xfId="0" applyBorder="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NGAO Spending Profile</a:t>
            </a:r>
          </a:p>
        </c:rich>
      </c:tx>
      <c:layout/>
      <c:spPr>
        <a:noFill/>
        <a:ln>
          <a:noFill/>
        </a:ln>
      </c:spPr>
    </c:title>
    <c:plotArea>
      <c:layout>
        <c:manualLayout>
          <c:xMode val="edge"/>
          <c:yMode val="edge"/>
          <c:x val="0.05725"/>
          <c:y val="0.142"/>
          <c:w val="0.901"/>
          <c:h val="0.7685"/>
        </c:manualLayout>
      </c:layout>
      <c:lineChart>
        <c:grouping val="standard"/>
        <c:varyColors val="0"/>
        <c:ser>
          <c:idx val="0"/>
          <c:order val="0"/>
          <c:tx>
            <c:v>System</c:v>
          </c:tx>
          <c:extLst>
            <c:ext xmlns:c14="http://schemas.microsoft.com/office/drawing/2007/8/2/chart" uri="{6F2FDCE9-48DA-4B69-8628-5D25D57E5C99}">
              <c14:invertSolidFillFmt>
                <c14:spPr>
                  <a:solidFill>
                    <a:srgbClr val="000000"/>
                  </a:solidFill>
                </c14:spPr>
              </c14:invertSolidFillFmt>
            </c:ext>
          </c:extLst>
          <c:cat>
            <c:strRef>
              <c:f>'Cost Est (then-yr)'!$E$2:$M$2</c:f>
              <c:strCache>
                <c:ptCount val="9"/>
                <c:pt idx="0">
                  <c:v>FY07</c:v>
                </c:pt>
                <c:pt idx="1">
                  <c:v>FY08</c:v>
                </c:pt>
                <c:pt idx="2">
                  <c:v>FY09</c:v>
                </c:pt>
                <c:pt idx="3">
                  <c:v>FY10</c:v>
                </c:pt>
                <c:pt idx="4">
                  <c:v>FY11</c:v>
                </c:pt>
                <c:pt idx="5">
                  <c:v>FY12</c:v>
                </c:pt>
                <c:pt idx="6">
                  <c:v>FY13</c:v>
                </c:pt>
                <c:pt idx="7">
                  <c:v>FY14</c:v>
                </c:pt>
                <c:pt idx="8">
                  <c:v>FY15</c:v>
                </c:pt>
              </c:strCache>
            </c:strRef>
          </c:cat>
          <c:val>
            <c:numRef>
              <c:f>'Cost Est (then-yr)'!$E$9:$M$9</c:f>
              <c:numCache>
                <c:ptCount val="9"/>
                <c:pt idx="0">
                  <c:v>738.85</c:v>
                </c:pt>
                <c:pt idx="1">
                  <c:v>709.1510000000001</c:v>
                </c:pt>
                <c:pt idx="2">
                  <c:v>1800</c:v>
                </c:pt>
                <c:pt idx="3">
                  <c:v>3234.411519302056</c:v>
                </c:pt>
                <c:pt idx="4">
                  <c:v>5500</c:v>
                </c:pt>
                <c:pt idx="5">
                  <c:v>10503.899194327798</c:v>
                </c:pt>
                <c:pt idx="6">
                  <c:v>14212.504236158473</c:v>
                </c:pt>
                <c:pt idx="7">
                  <c:v>12222.509354211585</c:v>
                </c:pt>
                <c:pt idx="8">
                  <c:v>2745.3798869295224</c:v>
                </c:pt>
              </c:numCache>
            </c:numRef>
          </c:val>
          <c:smooth val="0"/>
        </c:ser>
        <c:ser>
          <c:idx val="1"/>
          <c:order val="1"/>
          <c:tx>
            <c:v>Instruments</c:v>
          </c:tx>
          <c:extLst>
            <c:ext xmlns:c14="http://schemas.microsoft.com/office/drawing/2007/8/2/chart" uri="{6F2FDCE9-48DA-4B69-8628-5D25D57E5C99}">
              <c14:invertSolidFillFmt>
                <c14:spPr>
                  <a:solidFill>
                    <a:srgbClr val="000000"/>
                  </a:solidFill>
                </c14:spPr>
              </c14:invertSolidFillFmt>
            </c:ext>
          </c:extLst>
          <c:cat>
            <c:strRef>
              <c:f>'Cost Est (then-yr)'!$E$2:$M$2</c:f>
              <c:strCache>
                <c:ptCount val="9"/>
                <c:pt idx="0">
                  <c:v>FY07</c:v>
                </c:pt>
                <c:pt idx="1">
                  <c:v>FY08</c:v>
                </c:pt>
                <c:pt idx="2">
                  <c:v>FY09</c:v>
                </c:pt>
                <c:pt idx="3">
                  <c:v>FY10</c:v>
                </c:pt>
                <c:pt idx="4">
                  <c:v>FY11</c:v>
                </c:pt>
                <c:pt idx="5">
                  <c:v>FY12</c:v>
                </c:pt>
                <c:pt idx="6">
                  <c:v>FY13</c:v>
                </c:pt>
                <c:pt idx="7">
                  <c:v>FY14</c:v>
                </c:pt>
                <c:pt idx="8">
                  <c:v>FY15</c:v>
                </c:pt>
              </c:strCache>
            </c:strRef>
          </c:cat>
          <c:val>
            <c:numRef>
              <c:f>'Cost Est (then-yr)'!$E$14:$M$14</c:f>
              <c:numCache>
                <c:ptCount val="9"/>
                <c:pt idx="2">
                  <c:v>250</c:v>
                </c:pt>
                <c:pt idx="3">
                  <c:v>772.0164467955799</c:v>
                </c:pt>
                <c:pt idx="4">
                  <c:v>2312.4948311168505</c:v>
                </c:pt>
                <c:pt idx="5">
                  <c:v>4105.008819361261</c:v>
                </c:pt>
                <c:pt idx="6">
                  <c:v>4326.093037694163</c:v>
                </c:pt>
                <c:pt idx="7">
                  <c:v>2973.956513743652</c:v>
                </c:pt>
                <c:pt idx="8">
                  <c:v>162.3839059026312</c:v>
                </c:pt>
              </c:numCache>
            </c:numRef>
          </c:val>
          <c:smooth val="0"/>
        </c:ser>
        <c:ser>
          <c:idx val="2"/>
          <c:order val="2"/>
          <c:tx>
            <c:v>Total</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'Cost Est (then-yr)'!$E$2:$M$2</c:f>
              <c:strCache>
                <c:ptCount val="9"/>
                <c:pt idx="0">
                  <c:v>FY07</c:v>
                </c:pt>
                <c:pt idx="1">
                  <c:v>FY08</c:v>
                </c:pt>
                <c:pt idx="2">
                  <c:v>FY09</c:v>
                </c:pt>
                <c:pt idx="3">
                  <c:v>FY10</c:v>
                </c:pt>
                <c:pt idx="4">
                  <c:v>FY11</c:v>
                </c:pt>
                <c:pt idx="5">
                  <c:v>FY12</c:v>
                </c:pt>
                <c:pt idx="6">
                  <c:v>FY13</c:v>
                </c:pt>
                <c:pt idx="7">
                  <c:v>FY14</c:v>
                </c:pt>
                <c:pt idx="8">
                  <c:v>FY15</c:v>
                </c:pt>
              </c:strCache>
            </c:strRef>
          </c:cat>
          <c:val>
            <c:numRef>
              <c:f>'Cost Est (then-yr)'!$E$15:$M$15</c:f>
              <c:numCache>
                <c:ptCount val="9"/>
                <c:pt idx="0">
                  <c:v>738.85</c:v>
                </c:pt>
                <c:pt idx="1">
                  <c:v>709.1510000000001</c:v>
                </c:pt>
                <c:pt idx="2">
                  <c:v>2050</c:v>
                </c:pt>
                <c:pt idx="3">
                  <c:v>4006.4279660976363</c:v>
                </c:pt>
                <c:pt idx="4">
                  <c:v>7812.49483111685</c:v>
                </c:pt>
                <c:pt idx="5">
                  <c:v>14608.908013689059</c:v>
                </c:pt>
                <c:pt idx="6">
                  <c:v>18538.597273852636</c:v>
                </c:pt>
                <c:pt idx="7">
                  <c:v>15196.465867955238</c:v>
                </c:pt>
                <c:pt idx="8">
                  <c:v>2907.7637928321537</c:v>
                </c:pt>
              </c:numCache>
            </c:numRef>
          </c:val>
          <c:smooth val="0"/>
        </c:ser>
        <c:marker val="1"/>
        <c:axId val="36429925"/>
        <c:axId val="59433870"/>
      </c:lineChart>
      <c:catAx>
        <c:axId val="36429925"/>
        <c:scaling>
          <c:orientation val="minMax"/>
        </c:scaling>
        <c:axPos val="b"/>
        <c:title>
          <c:tx>
            <c:rich>
              <a:bodyPr vert="horz" rot="0" anchor="ctr"/>
              <a:lstStyle/>
              <a:p>
                <a:pPr algn="ctr">
                  <a:defRPr/>
                </a:pPr>
                <a:r>
                  <a:rPr lang="en-US" cap="none" sz="10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nextTo"/>
        <c:crossAx val="59433870"/>
        <c:crosses val="autoZero"/>
        <c:auto val="1"/>
        <c:lblOffset val="100"/>
        <c:noMultiLvlLbl val="0"/>
      </c:catAx>
      <c:valAx>
        <c:axId val="59433870"/>
        <c:scaling>
          <c:orientation val="minMax"/>
          <c:max val="20000"/>
        </c:scaling>
        <c:axPos val="l"/>
        <c:title>
          <c:tx>
            <c:rich>
              <a:bodyPr vert="horz" rot="-5400000" anchor="ctr"/>
              <a:lstStyle/>
              <a:p>
                <a:pPr algn="ctr">
                  <a:defRPr/>
                </a:pPr>
                <a:r>
                  <a:rPr lang="en-US" cap="none" sz="1000" b="1" i="0" u="none" baseline="0">
                    <a:latin typeface="Arial"/>
                    <a:ea typeface="Arial"/>
                    <a:cs typeface="Arial"/>
                  </a:rPr>
                  <a:t>Then-Year $k</a:t>
                </a:r>
              </a:p>
            </c:rich>
          </c:tx>
          <c:layout/>
          <c:overlay val="0"/>
          <c:spPr>
            <a:noFill/>
            <a:ln>
              <a:noFill/>
            </a:ln>
          </c:spPr>
        </c:title>
        <c:majorGridlines/>
        <c:delete val="0"/>
        <c:numFmt formatCode="General" sourceLinked="1"/>
        <c:majorTickMark val="out"/>
        <c:minorTickMark val="none"/>
        <c:tickLblPos val="nextTo"/>
        <c:crossAx val="36429925"/>
        <c:crossesAt val="1"/>
        <c:crossBetween val="between"/>
        <c:dispUnits/>
      </c:valAx>
      <c:spPr>
        <a:solidFill>
          <a:srgbClr val="C0C0C0"/>
        </a:solidFill>
        <a:ln w="12700">
          <a:solidFill>
            <a:srgbClr val="808080"/>
          </a:solidFill>
        </a:ln>
      </c:spPr>
    </c:plotArea>
    <c:legend>
      <c:legendPos val="r"/>
      <c:layout>
        <c:manualLayout>
          <c:xMode val="edge"/>
          <c:yMode val="edge"/>
          <c:x val="0.192"/>
          <c:y val="0.247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5"/>
          <c:y val="0.033"/>
          <c:w val="0.8885"/>
          <c:h val="0.8615"/>
        </c:manualLayout>
      </c:layout>
      <c:scatterChart>
        <c:scatterStyle val="smoothMarker"/>
        <c:varyColors val="0"/>
        <c:ser>
          <c:idx val="0"/>
          <c:order val="0"/>
          <c:tx>
            <c:strRef>
              <c:f>'B2C Review tables'!$O$2</c:f>
              <c:strCache>
                <c:ptCount val="1"/>
                <c:pt idx="0">
                  <c:v>MOSFIRE</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Pt>
            <c:idx val="5"/>
            <c:spPr>
              <a:ln w="3175">
                <a:noFill/>
              </a:ln>
            </c:spPr>
            <c:marker>
              <c:symbol val="auto"/>
            </c:marker>
          </c:dPt>
          <c:dPt>
            <c:idx val="6"/>
            <c:spPr>
              <a:ln w="3175">
                <a:noFill/>
              </a:ln>
            </c:spPr>
            <c:marker>
              <c:symbol val="auto"/>
            </c:marker>
          </c:dPt>
          <c:xVal>
            <c:numRef>
              <c:f>'B2C Review tables'!$N$3:$N$9</c:f>
              <c:numCache>
                <c:ptCount val="7"/>
                <c:pt idx="0">
                  <c:v>0.7</c:v>
                </c:pt>
                <c:pt idx="1">
                  <c:v>0.8</c:v>
                </c:pt>
                <c:pt idx="2">
                  <c:v>0.9</c:v>
                </c:pt>
                <c:pt idx="3">
                  <c:v>1</c:v>
                </c:pt>
                <c:pt idx="4">
                  <c:v>1</c:v>
                </c:pt>
                <c:pt idx="5">
                  <c:v>1.25</c:v>
                </c:pt>
                <c:pt idx="6">
                  <c:v>2</c:v>
                </c:pt>
              </c:numCache>
            </c:numRef>
          </c:xVal>
          <c:yVal>
            <c:numRef>
              <c:f>'B2C Review tables'!$O$3:$O$9</c:f>
              <c:numCache>
                <c:ptCount val="7"/>
                <c:pt idx="1">
                  <c:v>0.76</c:v>
                </c:pt>
                <c:pt idx="3">
                  <c:v>0.75</c:v>
                </c:pt>
                <c:pt idx="4">
                  <c:v>0.75</c:v>
                </c:pt>
                <c:pt idx="5">
                  <c:v>0.78</c:v>
                </c:pt>
                <c:pt idx="6">
                  <c:v>0.77</c:v>
                </c:pt>
              </c:numCache>
            </c:numRef>
          </c:yVal>
          <c:smooth val="1"/>
        </c:ser>
        <c:ser>
          <c:idx val="1"/>
          <c:order val="1"/>
          <c:tx>
            <c:strRef>
              <c:f>'B2C Review tables'!$P$2</c:f>
              <c:strCache>
                <c:ptCount val="1"/>
                <c:pt idx="0">
                  <c:v>H-4RG goal</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'B2C Review tables'!$N$3:$N$9</c:f>
              <c:numCache>
                <c:ptCount val="7"/>
                <c:pt idx="0">
                  <c:v>0.7</c:v>
                </c:pt>
                <c:pt idx="1">
                  <c:v>0.8</c:v>
                </c:pt>
                <c:pt idx="2">
                  <c:v>0.9</c:v>
                </c:pt>
                <c:pt idx="3">
                  <c:v>1</c:v>
                </c:pt>
                <c:pt idx="4">
                  <c:v>1</c:v>
                </c:pt>
                <c:pt idx="5">
                  <c:v>1.25</c:v>
                </c:pt>
                <c:pt idx="6">
                  <c:v>2</c:v>
                </c:pt>
              </c:numCache>
            </c:numRef>
          </c:xVal>
          <c:yVal>
            <c:numRef>
              <c:f>'B2C Review tables'!$P$3:$P$9</c:f>
              <c:numCache>
                <c:ptCount val="7"/>
                <c:pt idx="0">
                  <c:v>0.7</c:v>
                </c:pt>
                <c:pt idx="1">
                  <c:v>0.7</c:v>
                </c:pt>
                <c:pt idx="2">
                  <c:v>0.7</c:v>
                </c:pt>
                <c:pt idx="3">
                  <c:v>0.7</c:v>
                </c:pt>
                <c:pt idx="4">
                  <c:v>0.8</c:v>
                </c:pt>
                <c:pt idx="5">
                  <c:v>0.8</c:v>
                </c:pt>
                <c:pt idx="6">
                  <c:v>0.8</c:v>
                </c:pt>
              </c:numCache>
            </c:numRef>
          </c:yVal>
          <c:smooth val="1"/>
        </c:ser>
        <c:ser>
          <c:idx val="2"/>
          <c:order val="2"/>
          <c:tx>
            <c:strRef>
              <c:f>'B2C Review tables'!$Q$2</c:f>
              <c:strCache>
                <c:ptCount val="1"/>
                <c:pt idx="0">
                  <c:v>e2V meas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xVal>
            <c:numRef>
              <c:f>'B2C Review tables'!$N$3:$N$9</c:f>
              <c:numCache>
                <c:ptCount val="7"/>
                <c:pt idx="0">
                  <c:v>0.7</c:v>
                </c:pt>
                <c:pt idx="1">
                  <c:v>0.8</c:v>
                </c:pt>
                <c:pt idx="2">
                  <c:v>0.9</c:v>
                </c:pt>
                <c:pt idx="3">
                  <c:v>1</c:v>
                </c:pt>
                <c:pt idx="4">
                  <c:v>1</c:v>
                </c:pt>
                <c:pt idx="5">
                  <c:v>1.25</c:v>
                </c:pt>
                <c:pt idx="6">
                  <c:v>2</c:v>
                </c:pt>
              </c:numCache>
            </c:numRef>
          </c:xVal>
          <c:yVal>
            <c:numRef>
              <c:f>'B2C Review tables'!$Q$3:$Q$9</c:f>
              <c:numCache>
                <c:ptCount val="7"/>
                <c:pt idx="0">
                  <c:v>0.88</c:v>
                </c:pt>
                <c:pt idx="1">
                  <c:v>0.93</c:v>
                </c:pt>
                <c:pt idx="2">
                  <c:v>0.95</c:v>
                </c:pt>
                <c:pt idx="3">
                  <c:v>0.5</c:v>
                </c:pt>
              </c:numCache>
            </c:numRef>
          </c:yVal>
          <c:smooth val="1"/>
        </c:ser>
        <c:axId val="65142783"/>
        <c:axId val="49414136"/>
      </c:scatterChart>
      <c:valAx>
        <c:axId val="65142783"/>
        <c:scaling>
          <c:orientation val="minMax"/>
          <c:max val="2"/>
          <c:min val="0.75"/>
        </c:scaling>
        <c:axPos val="b"/>
        <c:title>
          <c:tx>
            <c:rich>
              <a:bodyPr vert="horz" rot="0" anchor="ctr"/>
              <a:lstStyle/>
              <a:p>
                <a:pPr algn="ctr">
                  <a:defRPr/>
                </a:pPr>
                <a:r>
                  <a:rPr lang="en-US" cap="none" sz="850" b="1" i="0" u="none" baseline="0">
                    <a:latin typeface="Arial"/>
                    <a:ea typeface="Arial"/>
                    <a:cs typeface="Arial"/>
                  </a:rPr>
                  <a:t>Wavelength (microns)</a:t>
                </a:r>
              </a:p>
            </c:rich>
          </c:tx>
          <c:layout/>
          <c:overlay val="0"/>
          <c:spPr>
            <a:noFill/>
            <a:ln>
              <a:noFill/>
            </a:ln>
          </c:spPr>
        </c:title>
        <c:delete val="0"/>
        <c:numFmt formatCode="General" sourceLinked="1"/>
        <c:majorTickMark val="out"/>
        <c:minorTickMark val="none"/>
        <c:tickLblPos val="nextTo"/>
        <c:crossAx val="49414136"/>
        <c:crosses val="autoZero"/>
        <c:crossBetween val="midCat"/>
        <c:dispUnits/>
        <c:majorUnit val="0.25"/>
      </c:valAx>
      <c:valAx>
        <c:axId val="49414136"/>
        <c:scaling>
          <c:orientation val="minMax"/>
          <c:min val="0.5"/>
        </c:scaling>
        <c:axPos val="l"/>
        <c:title>
          <c:tx>
            <c:rich>
              <a:bodyPr vert="horz" rot="-5400000" anchor="ctr"/>
              <a:lstStyle/>
              <a:p>
                <a:pPr algn="ctr">
                  <a:defRPr/>
                </a:pPr>
                <a:r>
                  <a:rPr lang="en-US" cap="none" sz="850" b="1" i="0" u="none" baseline="0">
                    <a:latin typeface="Arial"/>
                    <a:ea typeface="Arial"/>
                    <a:cs typeface="Arial"/>
                  </a:rPr>
                  <a:t>Quantum Efficiency</a:t>
                </a:r>
              </a:p>
            </c:rich>
          </c:tx>
          <c:layout/>
          <c:overlay val="0"/>
          <c:spPr>
            <a:noFill/>
            <a:ln>
              <a:noFill/>
            </a:ln>
          </c:spPr>
        </c:title>
        <c:majorGridlines/>
        <c:delete val="0"/>
        <c:numFmt formatCode="General" sourceLinked="1"/>
        <c:majorTickMark val="out"/>
        <c:minorTickMark val="none"/>
        <c:tickLblPos val="nextTo"/>
        <c:crossAx val="65142783"/>
        <c:crosses val="autoZero"/>
        <c:crossBetween val="midCat"/>
        <c:dispUnits/>
        <c:majorUnit val="0.1"/>
      </c:valAx>
      <c:spPr>
        <a:solidFill>
          <a:srgbClr val="C0C0C0"/>
        </a:solidFill>
        <a:ln w="12700">
          <a:solidFill>
            <a:srgbClr val="808080"/>
          </a:solidFill>
        </a:ln>
      </c:spPr>
    </c:plotArea>
    <c:legend>
      <c:legendPos val="r"/>
      <c:layout>
        <c:manualLayout>
          <c:xMode val="edge"/>
          <c:yMode val="edge"/>
          <c:x val="0.62475"/>
          <c:y val="0.534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NGAO Spending Profile with Descopes</a:t>
            </a:r>
          </a:p>
        </c:rich>
      </c:tx>
      <c:layout/>
      <c:spPr>
        <a:noFill/>
        <a:ln>
          <a:noFill/>
        </a:ln>
      </c:spPr>
    </c:title>
    <c:plotArea>
      <c:layout>
        <c:manualLayout>
          <c:xMode val="edge"/>
          <c:yMode val="edge"/>
          <c:x val="0.05725"/>
          <c:y val="0.14025"/>
          <c:w val="0.89825"/>
          <c:h val="0.76975"/>
        </c:manualLayout>
      </c:layout>
      <c:lineChart>
        <c:grouping val="standard"/>
        <c:varyColors val="0"/>
        <c:ser>
          <c:idx val="0"/>
          <c:order val="0"/>
          <c:tx>
            <c:v>System</c:v>
          </c:tx>
          <c:extLst>
            <c:ext xmlns:c14="http://schemas.microsoft.com/office/drawing/2007/8/2/chart" uri="{6F2FDCE9-48DA-4B69-8628-5D25D57E5C99}">
              <c14:invertSolidFillFmt>
                <c14:spPr>
                  <a:solidFill>
                    <a:srgbClr val="000000"/>
                  </a:solidFill>
                </c14:spPr>
              </c14:invertSolidFillFmt>
            </c:ext>
          </c:extLst>
          <c:cat>
            <c:strRef>
              <c:f>'Revised Est (then-yr)'!$E$2:$M$2</c:f>
              <c:strCache>
                <c:ptCount val="9"/>
                <c:pt idx="0">
                  <c:v>FY07</c:v>
                </c:pt>
                <c:pt idx="1">
                  <c:v>FY08</c:v>
                </c:pt>
                <c:pt idx="2">
                  <c:v>FY09</c:v>
                </c:pt>
                <c:pt idx="3">
                  <c:v>FY10</c:v>
                </c:pt>
                <c:pt idx="4">
                  <c:v>FY11</c:v>
                </c:pt>
                <c:pt idx="5">
                  <c:v>FY12</c:v>
                </c:pt>
                <c:pt idx="6">
                  <c:v>FY13</c:v>
                </c:pt>
                <c:pt idx="7">
                  <c:v>FY14</c:v>
                </c:pt>
                <c:pt idx="8">
                  <c:v>FY15</c:v>
                </c:pt>
              </c:strCache>
            </c:strRef>
          </c:cat>
          <c:val>
            <c:numRef>
              <c:f>'Revised Est (then-yr)'!$E$9:$M$9</c:f>
              <c:numCache>
                <c:ptCount val="9"/>
                <c:pt idx="0">
                  <c:v>738.85</c:v>
                </c:pt>
                <c:pt idx="1">
                  <c:v>709.1510000000001</c:v>
                </c:pt>
                <c:pt idx="2">
                  <c:v>1800</c:v>
                </c:pt>
                <c:pt idx="3">
                  <c:v>2991.4576893020567</c:v>
                </c:pt>
                <c:pt idx="4">
                  <c:v>5234.51750483125</c:v>
                </c:pt>
                <c:pt idx="5">
                  <c:v>9442.853795357683</c:v>
                </c:pt>
                <c:pt idx="6">
                  <c:v>11612.504236158473</c:v>
                </c:pt>
                <c:pt idx="7">
                  <c:v>12222.509354211585</c:v>
                </c:pt>
                <c:pt idx="8">
                  <c:v>2745.3798869295224</c:v>
                </c:pt>
              </c:numCache>
            </c:numRef>
          </c:val>
          <c:smooth val="0"/>
        </c:ser>
        <c:ser>
          <c:idx val="1"/>
          <c:order val="1"/>
          <c:tx>
            <c:v>Instruments</c:v>
          </c:tx>
          <c:extLst>
            <c:ext xmlns:c14="http://schemas.microsoft.com/office/drawing/2007/8/2/chart" uri="{6F2FDCE9-48DA-4B69-8628-5D25D57E5C99}">
              <c14:invertSolidFillFmt>
                <c14:spPr>
                  <a:solidFill>
                    <a:srgbClr val="000000"/>
                  </a:solidFill>
                </c14:spPr>
              </c14:invertSolidFillFmt>
            </c:ext>
          </c:extLst>
          <c:cat>
            <c:strRef>
              <c:f>'Revised Est (then-yr)'!$E$2:$M$2</c:f>
              <c:strCache>
                <c:ptCount val="9"/>
                <c:pt idx="0">
                  <c:v>FY07</c:v>
                </c:pt>
                <c:pt idx="1">
                  <c:v>FY08</c:v>
                </c:pt>
                <c:pt idx="2">
                  <c:v>FY09</c:v>
                </c:pt>
                <c:pt idx="3">
                  <c:v>FY10</c:v>
                </c:pt>
                <c:pt idx="4">
                  <c:v>FY11</c:v>
                </c:pt>
                <c:pt idx="5">
                  <c:v>FY12</c:v>
                </c:pt>
                <c:pt idx="6">
                  <c:v>FY13</c:v>
                </c:pt>
                <c:pt idx="7">
                  <c:v>FY14</c:v>
                </c:pt>
                <c:pt idx="8">
                  <c:v>FY15</c:v>
                </c:pt>
              </c:strCache>
            </c:strRef>
          </c:cat>
          <c:val>
            <c:numRef>
              <c:f>'Revised Est (then-yr)'!$E$14:$M$14</c:f>
              <c:numCache>
                <c:ptCount val="9"/>
                <c:pt idx="2">
                  <c:v>250</c:v>
                </c:pt>
                <c:pt idx="3">
                  <c:v>772.0164467955799</c:v>
                </c:pt>
                <c:pt idx="4">
                  <c:v>1913.2973086834254</c:v>
                </c:pt>
                <c:pt idx="5">
                  <c:v>3144.440229873916</c:v>
                </c:pt>
                <c:pt idx="6">
                  <c:v>3177.9292997746597</c:v>
                </c:pt>
                <c:pt idx="7">
                  <c:v>1744.7038522749438</c:v>
                </c:pt>
                <c:pt idx="8">
                  <c:v>0</c:v>
                </c:pt>
              </c:numCache>
            </c:numRef>
          </c:val>
          <c:smooth val="0"/>
        </c:ser>
        <c:ser>
          <c:idx val="2"/>
          <c:order val="2"/>
          <c:tx>
            <c:v>Total</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'Revised Est (then-yr)'!$E$2:$M$2</c:f>
              <c:strCache>
                <c:ptCount val="9"/>
                <c:pt idx="0">
                  <c:v>FY07</c:v>
                </c:pt>
                <c:pt idx="1">
                  <c:v>FY08</c:v>
                </c:pt>
                <c:pt idx="2">
                  <c:v>FY09</c:v>
                </c:pt>
                <c:pt idx="3">
                  <c:v>FY10</c:v>
                </c:pt>
                <c:pt idx="4">
                  <c:v>FY11</c:v>
                </c:pt>
                <c:pt idx="5">
                  <c:v>FY12</c:v>
                </c:pt>
                <c:pt idx="6">
                  <c:v>FY13</c:v>
                </c:pt>
                <c:pt idx="7">
                  <c:v>FY14</c:v>
                </c:pt>
                <c:pt idx="8">
                  <c:v>FY15</c:v>
                </c:pt>
              </c:strCache>
            </c:strRef>
          </c:cat>
          <c:val>
            <c:numRef>
              <c:f>'Revised Est (then-yr)'!$E$15:$M$15</c:f>
              <c:numCache>
                <c:ptCount val="9"/>
                <c:pt idx="0">
                  <c:v>738.85</c:v>
                </c:pt>
                <c:pt idx="1">
                  <c:v>709.1510000000001</c:v>
                </c:pt>
                <c:pt idx="2">
                  <c:v>2050</c:v>
                </c:pt>
                <c:pt idx="3">
                  <c:v>3763.474136097637</c:v>
                </c:pt>
                <c:pt idx="4">
                  <c:v>7147.814813514676</c:v>
                </c:pt>
                <c:pt idx="5">
                  <c:v>12587.2940252316</c:v>
                </c:pt>
                <c:pt idx="6">
                  <c:v>14790.433535933133</c:v>
                </c:pt>
                <c:pt idx="7">
                  <c:v>13967.213206486529</c:v>
                </c:pt>
                <c:pt idx="8">
                  <c:v>2745.3798869295224</c:v>
                </c:pt>
              </c:numCache>
            </c:numRef>
          </c:val>
          <c:smooth val="0"/>
        </c:ser>
        <c:marker val="1"/>
        <c:axId val="42074041"/>
        <c:axId val="43122050"/>
      </c:lineChart>
      <c:catAx>
        <c:axId val="42074041"/>
        <c:scaling>
          <c:orientation val="minMax"/>
        </c:scaling>
        <c:axPos val="b"/>
        <c:title>
          <c:tx>
            <c:rich>
              <a:bodyPr vert="horz" rot="0" anchor="ctr"/>
              <a:lstStyle/>
              <a:p>
                <a:pPr algn="ctr">
                  <a:defRPr/>
                </a:pPr>
                <a:r>
                  <a:rPr lang="en-US" cap="none" sz="975"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nextTo"/>
        <c:crossAx val="43122050"/>
        <c:crosses val="autoZero"/>
        <c:auto val="1"/>
        <c:lblOffset val="100"/>
        <c:noMultiLvlLbl val="0"/>
      </c:catAx>
      <c:valAx>
        <c:axId val="43122050"/>
        <c:scaling>
          <c:orientation val="minMax"/>
        </c:scaling>
        <c:axPos val="l"/>
        <c:title>
          <c:tx>
            <c:rich>
              <a:bodyPr vert="horz" rot="-5400000" anchor="ctr"/>
              <a:lstStyle/>
              <a:p>
                <a:pPr algn="ctr">
                  <a:defRPr/>
                </a:pPr>
                <a:r>
                  <a:rPr lang="en-US" cap="none" sz="975" b="1" i="0" u="none" baseline="0">
                    <a:latin typeface="Arial"/>
                    <a:ea typeface="Arial"/>
                    <a:cs typeface="Arial"/>
                  </a:rPr>
                  <a:t>The-Year $k</a:t>
                </a:r>
              </a:p>
            </c:rich>
          </c:tx>
          <c:layout/>
          <c:overlay val="0"/>
          <c:spPr>
            <a:noFill/>
            <a:ln>
              <a:noFill/>
            </a:ln>
          </c:spPr>
        </c:title>
        <c:majorGridlines/>
        <c:delete val="0"/>
        <c:numFmt formatCode="General" sourceLinked="1"/>
        <c:majorTickMark val="out"/>
        <c:minorTickMark val="none"/>
        <c:tickLblPos val="nextTo"/>
        <c:crossAx val="42074041"/>
        <c:crossesAt val="1"/>
        <c:crossBetween val="between"/>
        <c:dispUnits/>
      </c:valAx>
      <c:spPr>
        <a:solidFill>
          <a:srgbClr val="C0C0C0"/>
        </a:solidFill>
        <a:ln w="12700">
          <a:solidFill>
            <a:srgbClr val="808080"/>
          </a:solidFill>
        </a:ln>
      </c:spPr>
    </c:plotArea>
    <c:legend>
      <c:legendPos val="r"/>
      <c:layout>
        <c:manualLayout>
          <c:xMode val="edge"/>
          <c:yMode val="edge"/>
          <c:x val="0.1835"/>
          <c:y val="0.246"/>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18</xdr:row>
      <xdr:rowOff>152400</xdr:rowOff>
    </xdr:from>
    <xdr:to>
      <xdr:col>13</xdr:col>
      <xdr:colOff>266700</xdr:colOff>
      <xdr:row>41</xdr:row>
      <xdr:rowOff>133350</xdr:rowOff>
    </xdr:to>
    <xdr:graphicFrame>
      <xdr:nvGraphicFramePr>
        <xdr:cNvPr id="1" name="Chart 4"/>
        <xdr:cNvGraphicFramePr/>
      </xdr:nvGraphicFramePr>
      <xdr:xfrm>
        <a:off x="2562225" y="3067050"/>
        <a:ext cx="5743575" cy="3705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16</xdr:row>
      <xdr:rowOff>47625</xdr:rowOff>
    </xdr:from>
    <xdr:to>
      <xdr:col>16</xdr:col>
      <xdr:colOff>238125</xdr:colOff>
      <xdr:row>33</xdr:row>
      <xdr:rowOff>104775</xdr:rowOff>
    </xdr:to>
    <xdr:graphicFrame>
      <xdr:nvGraphicFramePr>
        <xdr:cNvPr id="1" name="Chart 2"/>
        <xdr:cNvGraphicFramePr/>
      </xdr:nvGraphicFramePr>
      <xdr:xfrm>
        <a:off x="10267950" y="2800350"/>
        <a:ext cx="4171950" cy="2971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18</xdr:row>
      <xdr:rowOff>57150</xdr:rowOff>
    </xdr:from>
    <xdr:to>
      <xdr:col>13</xdr:col>
      <xdr:colOff>314325</xdr:colOff>
      <xdr:row>41</xdr:row>
      <xdr:rowOff>19050</xdr:rowOff>
    </xdr:to>
    <xdr:graphicFrame>
      <xdr:nvGraphicFramePr>
        <xdr:cNvPr id="1" name="Chart 9"/>
        <xdr:cNvGraphicFramePr/>
      </xdr:nvGraphicFramePr>
      <xdr:xfrm>
        <a:off x="2609850" y="2971800"/>
        <a:ext cx="574357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92"/>
  <sheetViews>
    <sheetView workbookViewId="0" topLeftCell="A60">
      <selection activeCell="C65" sqref="C65"/>
    </sheetView>
  </sheetViews>
  <sheetFormatPr defaultColWidth="9.140625" defaultRowHeight="12.75"/>
  <cols>
    <col min="1" max="1" width="6.140625" style="35" customWidth="1"/>
    <col min="2" max="4" width="25.7109375" style="35" customWidth="1"/>
    <col min="5" max="5" width="20.57421875" style="2" customWidth="1"/>
  </cols>
  <sheetData>
    <row r="1" spans="1:5" ht="31.5">
      <c r="A1" s="30" t="s">
        <v>423</v>
      </c>
      <c r="B1" s="30" t="s">
        <v>424</v>
      </c>
      <c r="C1" s="30" t="s">
        <v>425</v>
      </c>
      <c r="D1" s="30" t="s">
        <v>426</v>
      </c>
      <c r="E1" s="47" t="s">
        <v>124</v>
      </c>
    </row>
    <row r="2" spans="1:4" ht="15.75">
      <c r="A2" s="30"/>
      <c r="B2" s="30"/>
      <c r="C2" s="30"/>
      <c r="D2" s="30"/>
    </row>
    <row r="3" spans="1:5" ht="21" customHeight="1">
      <c r="A3" s="31">
        <v>1</v>
      </c>
      <c r="B3" s="51" t="s">
        <v>94</v>
      </c>
      <c r="C3" s="30"/>
      <c r="D3" s="52" t="s">
        <v>93</v>
      </c>
      <c r="E3" s="49"/>
    </row>
    <row r="4" spans="1:5" ht="157.5">
      <c r="A4" s="32">
        <v>1.1</v>
      </c>
      <c r="B4" s="33" t="s">
        <v>427</v>
      </c>
      <c r="C4" s="34" t="s">
        <v>440</v>
      </c>
      <c r="D4" s="32"/>
      <c r="E4" s="2" t="s">
        <v>73</v>
      </c>
    </row>
    <row r="5" spans="1:5" ht="110.25">
      <c r="A5" s="32">
        <v>1.2</v>
      </c>
      <c r="B5" s="33" t="s">
        <v>429</v>
      </c>
      <c r="C5" s="32" t="s">
        <v>428</v>
      </c>
      <c r="D5" s="34" t="s">
        <v>404</v>
      </c>
      <c r="E5" s="2" t="s">
        <v>74</v>
      </c>
    </row>
    <row r="6" spans="1:5" ht="126">
      <c r="A6" s="32">
        <v>1.3</v>
      </c>
      <c r="B6" s="34" t="s">
        <v>430</v>
      </c>
      <c r="C6" s="32" t="s">
        <v>431</v>
      </c>
      <c r="D6" s="32" t="s">
        <v>91</v>
      </c>
      <c r="E6" s="2" t="s">
        <v>92</v>
      </c>
    </row>
    <row r="7" spans="1:5" ht="47.25">
      <c r="A7" s="32">
        <v>1.4</v>
      </c>
      <c r="B7" s="34" t="s">
        <v>433</v>
      </c>
      <c r="C7" s="32"/>
      <c r="D7" s="32" t="s">
        <v>405</v>
      </c>
      <c r="E7" s="2" t="s">
        <v>10</v>
      </c>
    </row>
    <row r="8" spans="1:5" ht="47.25">
      <c r="A8" s="32">
        <v>1.5</v>
      </c>
      <c r="B8" s="34" t="s">
        <v>432</v>
      </c>
      <c r="C8" s="32" t="s">
        <v>406</v>
      </c>
      <c r="D8" s="32" t="s">
        <v>407</v>
      </c>
      <c r="E8" s="2" t="s">
        <v>96</v>
      </c>
    </row>
    <row r="9" spans="1:5" ht="94.5">
      <c r="A9" s="32">
        <v>1.6</v>
      </c>
      <c r="B9" s="34" t="s">
        <v>434</v>
      </c>
      <c r="C9" s="34" t="s">
        <v>408</v>
      </c>
      <c r="D9" s="32" t="s">
        <v>409</v>
      </c>
      <c r="E9" s="2" t="s">
        <v>97</v>
      </c>
    </row>
    <row r="10" spans="1:4" ht="47.25">
      <c r="A10" s="32">
        <v>1.7</v>
      </c>
      <c r="B10" s="34" t="s">
        <v>410</v>
      </c>
      <c r="C10" s="32" t="s">
        <v>411</v>
      </c>
      <c r="D10" s="32"/>
    </row>
    <row r="11" spans="1:5" ht="94.5">
      <c r="A11" s="32">
        <v>1.8</v>
      </c>
      <c r="B11" s="34" t="s">
        <v>435</v>
      </c>
      <c r="C11" s="34" t="s">
        <v>412</v>
      </c>
      <c r="D11" s="32" t="s">
        <v>413</v>
      </c>
      <c r="E11" s="2" t="s">
        <v>98</v>
      </c>
    </row>
    <row r="12" spans="1:4" ht="94.5">
      <c r="A12" s="32">
        <v>1.9</v>
      </c>
      <c r="B12" s="34" t="s">
        <v>436</v>
      </c>
      <c r="C12" s="32" t="s">
        <v>414</v>
      </c>
      <c r="D12" s="32"/>
    </row>
    <row r="13" spans="1:4" ht="141.75">
      <c r="A13" s="36" t="s">
        <v>437</v>
      </c>
      <c r="B13" s="34" t="s">
        <v>415</v>
      </c>
      <c r="C13" s="34" t="s">
        <v>416</v>
      </c>
      <c r="D13" s="32"/>
    </row>
    <row r="14" spans="1:5" ht="94.5">
      <c r="A14" s="37">
        <v>1.11</v>
      </c>
      <c r="B14" s="34" t="s">
        <v>438</v>
      </c>
      <c r="C14" s="34" t="s">
        <v>417</v>
      </c>
      <c r="D14" s="32"/>
      <c r="E14" s="2" t="s">
        <v>99</v>
      </c>
    </row>
    <row r="15" spans="1:4" ht="47.25">
      <c r="A15" s="37">
        <v>1.12</v>
      </c>
      <c r="B15" s="34" t="s">
        <v>418</v>
      </c>
      <c r="C15" s="32"/>
      <c r="D15" s="32"/>
    </row>
    <row r="16" spans="1:4" ht="47.25">
      <c r="A16" s="37">
        <v>1.13</v>
      </c>
      <c r="B16" s="34" t="s">
        <v>419</v>
      </c>
      <c r="C16" s="32"/>
      <c r="D16" s="32"/>
    </row>
    <row r="17" spans="1:4" ht="31.5">
      <c r="A17" s="37">
        <v>1.14</v>
      </c>
      <c r="B17" s="34" t="s">
        <v>420</v>
      </c>
      <c r="C17" s="32"/>
      <c r="D17" s="32"/>
    </row>
    <row r="18" spans="1:4" ht="78.75">
      <c r="A18" s="37">
        <v>1.15</v>
      </c>
      <c r="B18" s="34" t="s">
        <v>421</v>
      </c>
      <c r="C18" s="32"/>
      <c r="D18" s="32"/>
    </row>
    <row r="19" spans="1:5" ht="63">
      <c r="A19" s="37">
        <v>1.16</v>
      </c>
      <c r="B19" s="34" t="s">
        <v>439</v>
      </c>
      <c r="C19" s="32"/>
      <c r="D19" s="32"/>
      <c r="E19" s="2" t="s">
        <v>100</v>
      </c>
    </row>
    <row r="20" spans="1:4" ht="15.75">
      <c r="A20" s="37"/>
      <c r="B20" s="34"/>
      <c r="C20" s="32"/>
      <c r="D20" s="32"/>
    </row>
    <row r="21" spans="1:5" s="38" customFormat="1" ht="15.75">
      <c r="A21" s="62">
        <v>2</v>
      </c>
      <c r="B21" s="51" t="s">
        <v>441</v>
      </c>
      <c r="C21" s="4"/>
      <c r="D21" s="52" t="s">
        <v>76</v>
      </c>
      <c r="E21" s="48"/>
    </row>
    <row r="22" spans="1:4" ht="63">
      <c r="A22" s="39">
        <v>2.1</v>
      </c>
      <c r="B22" s="39" t="s">
        <v>450</v>
      </c>
      <c r="C22" s="39"/>
      <c r="D22" s="39"/>
    </row>
    <row r="23" spans="1:5" ht="47.25">
      <c r="A23" s="39">
        <v>2.2</v>
      </c>
      <c r="B23" s="39" t="s">
        <v>451</v>
      </c>
      <c r="C23" s="39"/>
      <c r="D23" s="39"/>
      <c r="E23" s="2" t="s">
        <v>101</v>
      </c>
    </row>
    <row r="24" spans="1:5" ht="110.25">
      <c r="A24" s="39">
        <v>2.3</v>
      </c>
      <c r="B24" s="39" t="s">
        <v>452</v>
      </c>
      <c r="C24" s="39" t="s">
        <v>443</v>
      </c>
      <c r="D24" s="39" t="s">
        <v>444</v>
      </c>
      <c r="E24" s="2" t="s">
        <v>102</v>
      </c>
    </row>
    <row r="25" spans="1:5" ht="94.5">
      <c r="A25" s="39">
        <v>2.4</v>
      </c>
      <c r="B25" s="39" t="s">
        <v>453</v>
      </c>
      <c r="C25" s="39"/>
      <c r="D25" s="39" t="s">
        <v>445</v>
      </c>
      <c r="E25" s="2" t="s">
        <v>103</v>
      </c>
    </row>
    <row r="26" spans="1:4" ht="141.75">
      <c r="A26" s="39">
        <v>2.5</v>
      </c>
      <c r="B26" s="39" t="s">
        <v>454</v>
      </c>
      <c r="C26" s="39" t="s">
        <v>446</v>
      </c>
      <c r="D26" s="39" t="s">
        <v>447</v>
      </c>
    </row>
    <row r="27" spans="1:4" ht="94.5">
      <c r="A27" s="39">
        <v>2.6</v>
      </c>
      <c r="B27" s="39" t="s">
        <v>448</v>
      </c>
      <c r="C27" s="39"/>
      <c r="D27" s="39"/>
    </row>
    <row r="28" spans="1:4" ht="31.5">
      <c r="A28" s="39">
        <v>2.7</v>
      </c>
      <c r="B28" s="39" t="s">
        <v>449</v>
      </c>
      <c r="C28" s="39"/>
      <c r="D28" s="39"/>
    </row>
    <row r="30" spans="1:4" ht="15.75">
      <c r="A30" s="61" t="s">
        <v>472</v>
      </c>
      <c r="B30" s="50" t="s">
        <v>471</v>
      </c>
      <c r="C30" s="40"/>
      <c r="D30" s="52" t="s">
        <v>77</v>
      </c>
    </row>
    <row r="31" spans="1:5" ht="267.75">
      <c r="A31" s="34" t="s">
        <v>455</v>
      </c>
      <c r="B31" s="33" t="s">
        <v>464</v>
      </c>
      <c r="C31" s="34" t="s">
        <v>466</v>
      </c>
      <c r="D31" s="34" t="s">
        <v>465</v>
      </c>
      <c r="E31" s="2" t="s">
        <v>104</v>
      </c>
    </row>
    <row r="32" spans="1:4" ht="47.25">
      <c r="A32" s="34" t="s">
        <v>456</v>
      </c>
      <c r="B32" s="34" t="s">
        <v>467</v>
      </c>
      <c r="C32" s="34" t="s">
        <v>457</v>
      </c>
      <c r="D32" s="34"/>
    </row>
    <row r="33" spans="1:5" ht="31.5">
      <c r="A33" s="34" t="s">
        <v>458</v>
      </c>
      <c r="B33" s="34" t="s">
        <v>468</v>
      </c>
      <c r="C33" s="34" t="s">
        <v>459</v>
      </c>
      <c r="D33" s="34"/>
      <c r="E33" s="2" t="s">
        <v>105</v>
      </c>
    </row>
    <row r="34" spans="1:4" ht="94.5">
      <c r="A34" s="34" t="s">
        <v>460</v>
      </c>
      <c r="B34" s="34" t="s">
        <v>469</v>
      </c>
      <c r="C34" s="34"/>
      <c r="D34" s="34"/>
    </row>
    <row r="35" spans="1:4" ht="94.5">
      <c r="A35" s="34" t="s">
        <v>461</v>
      </c>
      <c r="B35" s="34" t="s">
        <v>462</v>
      </c>
      <c r="C35" s="34"/>
      <c r="D35" s="34"/>
    </row>
    <row r="36" spans="1:5" ht="94.5">
      <c r="A36" s="34" t="s">
        <v>463</v>
      </c>
      <c r="B36" s="34" t="s">
        <v>470</v>
      </c>
      <c r="C36" s="34"/>
      <c r="D36" s="34"/>
      <c r="E36" s="2" t="s">
        <v>106</v>
      </c>
    </row>
    <row r="37" spans="1:4" ht="15.75">
      <c r="A37" s="34"/>
      <c r="B37" s="34"/>
      <c r="C37" s="34"/>
      <c r="D37" s="34"/>
    </row>
    <row r="38" spans="1:5" s="57" customFormat="1" ht="15.75">
      <c r="A38" s="61" t="s">
        <v>473</v>
      </c>
      <c r="B38" s="50" t="s">
        <v>474</v>
      </c>
      <c r="C38" s="55"/>
      <c r="D38" s="52" t="s">
        <v>75</v>
      </c>
      <c r="E38" s="56"/>
    </row>
    <row r="39" spans="1:5" ht="110.25">
      <c r="A39" s="32" t="s">
        <v>475</v>
      </c>
      <c r="B39" s="33" t="s">
        <v>486</v>
      </c>
      <c r="C39" s="34" t="s">
        <v>484</v>
      </c>
      <c r="D39" s="34" t="s">
        <v>485</v>
      </c>
      <c r="E39" s="2" t="s">
        <v>8</v>
      </c>
    </row>
    <row r="40" spans="1:4" ht="31.5">
      <c r="A40" s="32" t="s">
        <v>476</v>
      </c>
      <c r="B40" s="34" t="s">
        <v>487</v>
      </c>
      <c r="C40" s="34" t="s">
        <v>477</v>
      </c>
      <c r="D40" s="32"/>
    </row>
    <row r="41" spans="1:5" ht="78.75">
      <c r="A41" s="32" t="s">
        <v>478</v>
      </c>
      <c r="B41" s="34" t="s">
        <v>488</v>
      </c>
      <c r="C41" s="34"/>
      <c r="D41" s="32" t="s">
        <v>479</v>
      </c>
      <c r="E41" s="2" t="s">
        <v>11</v>
      </c>
    </row>
    <row r="42" spans="1:5" ht="31.5">
      <c r="A42" s="32" t="s">
        <v>480</v>
      </c>
      <c r="B42" s="34" t="s">
        <v>489</v>
      </c>
      <c r="C42" s="34"/>
      <c r="D42" s="32" t="s">
        <v>481</v>
      </c>
      <c r="E42" s="2" t="s">
        <v>12</v>
      </c>
    </row>
    <row r="43" spans="1:4" ht="94.5">
      <c r="A43" s="32" t="s">
        <v>482</v>
      </c>
      <c r="B43" s="34" t="s">
        <v>462</v>
      </c>
      <c r="C43" s="34"/>
      <c r="D43" s="32"/>
    </row>
    <row r="44" spans="1:4" ht="63">
      <c r="A44" s="32" t="s">
        <v>483</v>
      </c>
      <c r="B44" s="34" t="s">
        <v>490</v>
      </c>
      <c r="C44" s="34"/>
      <c r="D44" s="32"/>
    </row>
    <row r="46" spans="1:5" s="60" customFormat="1" ht="15.75">
      <c r="A46" s="58">
        <v>4</v>
      </c>
      <c r="B46" s="53" t="s">
        <v>491</v>
      </c>
      <c r="C46" s="58"/>
      <c r="D46" s="52" t="s">
        <v>15</v>
      </c>
      <c r="E46" s="59"/>
    </row>
    <row r="47" spans="1:4" ht="141.75">
      <c r="A47" s="34">
        <v>4.1</v>
      </c>
      <c r="B47" s="34" t="s">
        <v>659</v>
      </c>
      <c r="C47" s="34" t="s">
        <v>492</v>
      </c>
      <c r="D47" s="34" t="s">
        <v>505</v>
      </c>
    </row>
    <row r="48" spans="1:4" ht="141.75">
      <c r="A48" s="34">
        <v>4.2</v>
      </c>
      <c r="B48" s="34" t="s">
        <v>663</v>
      </c>
      <c r="C48" s="34" t="s">
        <v>506</v>
      </c>
      <c r="D48" s="34" t="s">
        <v>664</v>
      </c>
    </row>
    <row r="49" spans="1:4" ht="220.5">
      <c r="A49" s="34">
        <v>4.3</v>
      </c>
      <c r="B49" s="34" t="s">
        <v>507</v>
      </c>
      <c r="C49" s="34" t="s">
        <v>508</v>
      </c>
      <c r="D49" s="34" t="s">
        <v>665</v>
      </c>
    </row>
    <row r="50" spans="1:5" ht="223.5" customHeight="1">
      <c r="A50" s="34">
        <v>4.4</v>
      </c>
      <c r="B50" s="34" t="s">
        <v>666</v>
      </c>
      <c r="C50" s="34" t="s">
        <v>509</v>
      </c>
      <c r="D50" s="34" t="s">
        <v>667</v>
      </c>
      <c r="E50" s="2" t="s">
        <v>13</v>
      </c>
    </row>
    <row r="51" spans="1:5" ht="346.5">
      <c r="A51" s="34">
        <v>4.5</v>
      </c>
      <c r="B51" s="34" t="s">
        <v>668</v>
      </c>
      <c r="C51" s="34" t="s">
        <v>510</v>
      </c>
      <c r="D51" s="34" t="s">
        <v>669</v>
      </c>
      <c r="E51" s="2" t="s">
        <v>95</v>
      </c>
    </row>
    <row r="52" spans="1:4" ht="267.75">
      <c r="A52" s="34">
        <v>4.6</v>
      </c>
      <c r="B52" s="34" t="s">
        <v>670</v>
      </c>
      <c r="C52" s="34" t="s">
        <v>511</v>
      </c>
      <c r="D52" s="34" t="s">
        <v>512</v>
      </c>
    </row>
    <row r="53" spans="1:4" ht="141.75">
      <c r="A53" s="34">
        <v>4.7</v>
      </c>
      <c r="B53" s="33" t="s">
        <v>671</v>
      </c>
      <c r="C53" s="34" t="s">
        <v>513</v>
      </c>
      <c r="D53" s="34"/>
    </row>
    <row r="54" spans="1:4" ht="204.75">
      <c r="A54" s="34">
        <v>4.8</v>
      </c>
      <c r="B54" s="34" t="s">
        <v>672</v>
      </c>
      <c r="C54" s="34" t="s">
        <v>514</v>
      </c>
      <c r="D54" s="34" t="s">
        <v>515</v>
      </c>
    </row>
    <row r="55" spans="1:4" ht="267.75">
      <c r="A55" s="34">
        <v>4.9</v>
      </c>
      <c r="B55" s="34" t="s">
        <v>675</v>
      </c>
      <c r="C55" s="34" t="s">
        <v>673</v>
      </c>
      <c r="D55" s="34" t="s">
        <v>674</v>
      </c>
    </row>
    <row r="56" spans="1:4" ht="220.5">
      <c r="A56" s="43" t="s">
        <v>676</v>
      </c>
      <c r="B56" s="34" t="s">
        <v>677</v>
      </c>
      <c r="C56" s="34" t="s">
        <v>678</v>
      </c>
      <c r="D56" s="34"/>
    </row>
    <row r="57" spans="1:5" ht="94.5">
      <c r="A57" s="42">
        <v>4.11</v>
      </c>
      <c r="B57" s="34" t="s">
        <v>679</v>
      </c>
      <c r="C57" s="34" t="s">
        <v>516</v>
      </c>
      <c r="D57" s="34" t="s">
        <v>517</v>
      </c>
      <c r="E57" s="2" t="s">
        <v>14</v>
      </c>
    </row>
    <row r="58" spans="1:5" ht="126">
      <c r="A58" s="42">
        <v>4.12</v>
      </c>
      <c r="B58" s="34" t="s">
        <v>518</v>
      </c>
      <c r="C58" s="34" t="s">
        <v>519</v>
      </c>
      <c r="D58" s="34" t="s">
        <v>520</v>
      </c>
      <c r="E58" s="2" t="s">
        <v>19</v>
      </c>
    </row>
    <row r="59" spans="1:4" ht="63">
      <c r="A59" s="42">
        <v>4.13</v>
      </c>
      <c r="B59" s="34" t="s">
        <v>680</v>
      </c>
      <c r="C59" s="34"/>
      <c r="D59" s="34" t="s">
        <v>521</v>
      </c>
    </row>
    <row r="60" spans="1:5" ht="157.5">
      <c r="A60" s="42">
        <v>4.14</v>
      </c>
      <c r="B60" s="34" t="s">
        <v>681</v>
      </c>
      <c r="C60" s="34"/>
      <c r="D60" s="34" t="s">
        <v>682</v>
      </c>
      <c r="E60" s="2" t="s">
        <v>17</v>
      </c>
    </row>
    <row r="61" spans="1:5" ht="204.75">
      <c r="A61" s="42">
        <v>4.15</v>
      </c>
      <c r="B61" s="34" t="s">
        <v>683</v>
      </c>
      <c r="C61" s="34" t="s">
        <v>522</v>
      </c>
      <c r="D61" s="34"/>
      <c r="E61" s="2" t="s">
        <v>16</v>
      </c>
    </row>
    <row r="62" spans="1:4" ht="63">
      <c r="A62" s="42">
        <v>4.16</v>
      </c>
      <c r="B62" s="34" t="s">
        <v>523</v>
      </c>
      <c r="C62" s="34"/>
      <c r="D62" s="34"/>
    </row>
    <row r="64" spans="1:5" s="60" customFormat="1" ht="15.75">
      <c r="A64" s="54">
        <v>5</v>
      </c>
      <c r="B64" s="53" t="s">
        <v>684</v>
      </c>
      <c r="C64" s="58"/>
      <c r="D64" s="52" t="s">
        <v>78</v>
      </c>
      <c r="E64" s="59"/>
    </row>
    <row r="65" spans="1:4" ht="330.75">
      <c r="A65" s="45">
        <v>5.1</v>
      </c>
      <c r="B65" s="46" t="s">
        <v>685</v>
      </c>
      <c r="C65" s="46" t="s">
        <v>686</v>
      </c>
      <c r="D65" s="45" t="s">
        <v>687</v>
      </c>
    </row>
    <row r="66" spans="1:4" ht="141.75">
      <c r="A66" s="45">
        <v>5.2</v>
      </c>
      <c r="B66" s="46" t="s">
        <v>688</v>
      </c>
      <c r="C66" s="46"/>
      <c r="D66" s="46" t="s">
        <v>689</v>
      </c>
    </row>
    <row r="67" spans="1:4" ht="94.5">
      <c r="A67" s="45">
        <v>5.3</v>
      </c>
      <c r="B67" s="46" t="s">
        <v>690</v>
      </c>
      <c r="C67" s="45" t="s">
        <v>691</v>
      </c>
      <c r="D67" s="45"/>
    </row>
    <row r="68" spans="1:4" ht="126">
      <c r="A68" s="45">
        <v>5.4</v>
      </c>
      <c r="B68" s="46" t="s">
        <v>692</v>
      </c>
      <c r="C68" s="46"/>
      <c r="D68" s="46" t="s">
        <v>693</v>
      </c>
    </row>
    <row r="69" spans="1:4" ht="112.5" customHeight="1">
      <c r="A69" s="140">
        <v>5.5</v>
      </c>
      <c r="B69" s="137" t="s">
        <v>694</v>
      </c>
      <c r="C69" s="137"/>
      <c r="D69" s="137" t="s">
        <v>695</v>
      </c>
    </row>
    <row r="70" spans="1:4" ht="12.75">
      <c r="A70" s="140"/>
      <c r="B70" s="137"/>
      <c r="C70" s="137"/>
      <c r="D70" s="137"/>
    </row>
    <row r="71" spans="1:4" ht="31.5">
      <c r="A71" s="45">
        <v>5.6</v>
      </c>
      <c r="B71" s="46" t="s">
        <v>696</v>
      </c>
      <c r="C71" s="46" t="s">
        <v>697</v>
      </c>
      <c r="D71" s="46" t="s">
        <v>698</v>
      </c>
    </row>
    <row r="72" spans="1:4" ht="78" customHeight="1">
      <c r="A72" s="45">
        <v>5.7</v>
      </c>
      <c r="B72" s="46" t="s">
        <v>699</v>
      </c>
      <c r="C72" s="46" t="s">
        <v>18</v>
      </c>
      <c r="D72" s="46"/>
    </row>
    <row r="73" spans="1:5" ht="126">
      <c r="A73" s="45">
        <v>5.8</v>
      </c>
      <c r="B73" s="46" t="s">
        <v>700</v>
      </c>
      <c r="C73" s="46" t="s">
        <v>701</v>
      </c>
      <c r="D73" s="46" t="s">
        <v>702</v>
      </c>
      <c r="E73" s="2" t="s">
        <v>19</v>
      </c>
    </row>
    <row r="74" spans="1:4" ht="110.25">
      <c r="A74" s="45">
        <v>5.9</v>
      </c>
      <c r="B74" s="46" t="s">
        <v>703</v>
      </c>
      <c r="C74" s="46" t="s">
        <v>704</v>
      </c>
      <c r="D74" s="45"/>
    </row>
    <row r="76" spans="1:5" s="57" customFormat="1" ht="15.75">
      <c r="A76" s="54">
        <v>6</v>
      </c>
      <c r="B76" s="53" t="s">
        <v>705</v>
      </c>
      <c r="C76" s="55"/>
      <c r="D76" s="52" t="s">
        <v>78</v>
      </c>
      <c r="E76" s="56"/>
    </row>
    <row r="77" spans="1:4" ht="31.5">
      <c r="A77" s="32">
        <v>6.1</v>
      </c>
      <c r="B77" s="34" t="s">
        <v>706</v>
      </c>
      <c r="C77" s="34" t="s">
        <v>707</v>
      </c>
      <c r="D77" s="34" t="s">
        <v>708</v>
      </c>
    </row>
    <row r="78" spans="1:4" ht="141.75">
      <c r="A78" s="32">
        <v>6.2</v>
      </c>
      <c r="B78" s="34" t="s">
        <v>709</v>
      </c>
      <c r="C78" s="34"/>
      <c r="D78" s="32" t="s">
        <v>710</v>
      </c>
    </row>
    <row r="79" spans="1:4" ht="31.5">
      <c r="A79" s="32">
        <v>6.3</v>
      </c>
      <c r="B79" s="33" t="s">
        <v>711</v>
      </c>
      <c r="C79" s="32" t="s">
        <v>712</v>
      </c>
      <c r="D79" s="32"/>
    </row>
    <row r="80" spans="1:4" ht="110.25">
      <c r="A80" s="32">
        <v>6.4</v>
      </c>
      <c r="B80" s="34" t="s">
        <v>713</v>
      </c>
      <c r="C80" s="34" t="s">
        <v>714</v>
      </c>
      <c r="D80" s="34" t="s">
        <v>715</v>
      </c>
    </row>
    <row r="81" spans="1:4" ht="141.75">
      <c r="A81" s="32">
        <v>6.5</v>
      </c>
      <c r="B81" s="34" t="s">
        <v>716</v>
      </c>
      <c r="C81" s="32" t="s">
        <v>717</v>
      </c>
      <c r="D81" s="32"/>
    </row>
    <row r="82" spans="1:5" ht="110.25">
      <c r="A82" s="32">
        <v>6.6</v>
      </c>
      <c r="B82" s="34" t="s">
        <v>718</v>
      </c>
      <c r="C82" s="32"/>
      <c r="D82" s="32" t="s">
        <v>719</v>
      </c>
      <c r="E82" s="2" t="s">
        <v>20</v>
      </c>
    </row>
    <row r="83" spans="1:4" ht="31.5">
      <c r="A83" s="32">
        <v>6.7</v>
      </c>
      <c r="B83" s="34" t="s">
        <v>720</v>
      </c>
      <c r="C83" s="34"/>
      <c r="D83" s="32" t="s">
        <v>721</v>
      </c>
    </row>
    <row r="84" spans="1:4" ht="15.75">
      <c r="A84" s="32">
        <v>6.8</v>
      </c>
      <c r="B84" s="34" t="s">
        <v>722</v>
      </c>
      <c r="C84" s="34" t="s">
        <v>722</v>
      </c>
      <c r="D84" s="34" t="s">
        <v>722</v>
      </c>
    </row>
    <row r="85" spans="1:4" ht="15.75">
      <c r="A85" s="32">
        <v>6.9</v>
      </c>
      <c r="B85" s="34" t="s">
        <v>723</v>
      </c>
      <c r="C85" s="34" t="s">
        <v>723</v>
      </c>
      <c r="D85" s="34"/>
    </row>
    <row r="86" spans="1:4" ht="15.75">
      <c r="A86" s="36" t="s">
        <v>728</v>
      </c>
      <c r="B86" s="34" t="s">
        <v>724</v>
      </c>
      <c r="C86" s="34" t="s">
        <v>725</v>
      </c>
      <c r="D86" s="34"/>
    </row>
    <row r="87" spans="1:4" ht="47.25">
      <c r="A87" s="37">
        <v>6.11</v>
      </c>
      <c r="B87" s="34" t="s">
        <v>726</v>
      </c>
      <c r="C87" s="32" t="s">
        <v>727</v>
      </c>
      <c r="D87" s="32"/>
    </row>
    <row r="89" spans="1:4" ht="15.75">
      <c r="A89" s="44">
        <v>7</v>
      </c>
      <c r="B89" s="41" t="s">
        <v>729</v>
      </c>
      <c r="D89" s="52" t="s">
        <v>76</v>
      </c>
    </row>
    <row r="90" spans="1:4" ht="63">
      <c r="A90" s="32">
        <v>7.1</v>
      </c>
      <c r="B90" s="32" t="s">
        <v>442</v>
      </c>
      <c r="C90" s="32" t="s">
        <v>730</v>
      </c>
      <c r="D90" s="32"/>
    </row>
    <row r="91" spans="1:5" ht="31.5">
      <c r="A91" s="32">
        <v>7.2</v>
      </c>
      <c r="B91" s="32" t="s">
        <v>737</v>
      </c>
      <c r="C91" s="32"/>
      <c r="D91" s="32" t="s">
        <v>738</v>
      </c>
      <c r="E91" s="2" t="s">
        <v>101</v>
      </c>
    </row>
    <row r="92" spans="1:4" ht="141.75">
      <c r="A92" s="32">
        <v>7.3</v>
      </c>
      <c r="B92" s="32" t="s">
        <v>739</v>
      </c>
      <c r="C92" s="32" t="s">
        <v>740</v>
      </c>
      <c r="D92" s="32" t="s">
        <v>741</v>
      </c>
    </row>
    <row r="93" spans="1:5" ht="204.75">
      <c r="A93" s="32">
        <v>7.4</v>
      </c>
      <c r="B93" s="32" t="s">
        <v>742</v>
      </c>
      <c r="C93" s="32" t="s">
        <v>743</v>
      </c>
      <c r="D93" s="32" t="s">
        <v>744</v>
      </c>
      <c r="E93" s="2" t="s">
        <v>828</v>
      </c>
    </row>
    <row r="94" spans="1:4" ht="126">
      <c r="A94" s="32">
        <v>7.5</v>
      </c>
      <c r="B94" s="32" t="s">
        <v>745</v>
      </c>
      <c r="C94" s="32"/>
      <c r="D94" s="32" t="s">
        <v>746</v>
      </c>
    </row>
    <row r="95" spans="1:4" ht="110.25">
      <c r="A95" s="32">
        <v>7.6</v>
      </c>
      <c r="B95" s="32" t="s">
        <v>747</v>
      </c>
      <c r="C95" s="32"/>
      <c r="D95" s="32"/>
    </row>
    <row r="96" spans="1:4" ht="31.5">
      <c r="A96" s="32">
        <v>7.7</v>
      </c>
      <c r="B96" s="32" t="s">
        <v>449</v>
      </c>
      <c r="C96" s="32"/>
      <c r="D96" s="32"/>
    </row>
    <row r="98" spans="1:4" ht="15.75">
      <c r="A98" s="54" t="s">
        <v>774</v>
      </c>
      <c r="B98" s="53" t="s">
        <v>776</v>
      </c>
      <c r="D98" s="52" t="s">
        <v>78</v>
      </c>
    </row>
    <row r="99" spans="1:4" ht="63">
      <c r="A99" s="32" t="s">
        <v>748</v>
      </c>
      <c r="B99" s="32" t="s">
        <v>749</v>
      </c>
      <c r="C99" s="34" t="s">
        <v>750</v>
      </c>
      <c r="D99" s="32"/>
    </row>
    <row r="100" spans="1:4" ht="78.75">
      <c r="A100" s="32" t="s">
        <v>751</v>
      </c>
      <c r="B100" s="32" t="s">
        <v>752</v>
      </c>
      <c r="C100" s="32" t="s">
        <v>753</v>
      </c>
      <c r="D100" s="32" t="s">
        <v>754</v>
      </c>
    </row>
    <row r="101" spans="1:5" ht="94.5">
      <c r="A101" s="32" t="s">
        <v>755</v>
      </c>
      <c r="B101" s="32" t="s">
        <v>756</v>
      </c>
      <c r="C101" s="32"/>
      <c r="D101" s="32"/>
      <c r="E101" s="2" t="s">
        <v>21</v>
      </c>
    </row>
    <row r="102" spans="1:5" ht="141.75">
      <c r="A102" s="32" t="s">
        <v>757</v>
      </c>
      <c r="B102" s="32" t="s">
        <v>758</v>
      </c>
      <c r="C102" s="32" t="s">
        <v>759</v>
      </c>
      <c r="D102" s="32" t="s">
        <v>760</v>
      </c>
      <c r="E102" s="2" t="s">
        <v>24</v>
      </c>
    </row>
    <row r="103" spans="1:5" ht="126">
      <c r="A103" s="32" t="s">
        <v>761</v>
      </c>
      <c r="B103" s="32" t="s">
        <v>762</v>
      </c>
      <c r="C103" s="32"/>
      <c r="D103" s="32"/>
      <c r="E103" s="2" t="s">
        <v>23</v>
      </c>
    </row>
    <row r="104" spans="1:4" ht="63">
      <c r="A104" s="32" t="s">
        <v>763</v>
      </c>
      <c r="B104" s="32" t="s">
        <v>764</v>
      </c>
      <c r="C104" s="32"/>
      <c r="D104" s="32"/>
    </row>
    <row r="105" spans="1:4" ht="31.5">
      <c r="A105" s="32" t="s">
        <v>765</v>
      </c>
      <c r="B105" s="32" t="s">
        <v>766</v>
      </c>
      <c r="C105" s="32"/>
      <c r="D105" s="32"/>
    </row>
    <row r="106" spans="1:5" ht="63">
      <c r="A106" s="32" t="s">
        <v>767</v>
      </c>
      <c r="B106" s="32" t="s">
        <v>768</v>
      </c>
      <c r="C106" s="32"/>
      <c r="D106" s="32"/>
      <c r="E106" s="2" t="s">
        <v>99</v>
      </c>
    </row>
    <row r="107" spans="1:4" ht="126">
      <c r="A107" s="32" t="s">
        <v>769</v>
      </c>
      <c r="B107" s="32" t="s">
        <v>770</v>
      </c>
      <c r="C107" s="32"/>
      <c r="D107" s="32"/>
    </row>
    <row r="108" spans="1:4" ht="78.75">
      <c r="A108" s="32" t="s">
        <v>771</v>
      </c>
      <c r="B108" s="32" t="s">
        <v>421</v>
      </c>
      <c r="C108" s="32"/>
      <c r="D108" s="32"/>
    </row>
    <row r="109" spans="1:5" ht="78.75">
      <c r="A109" s="32" t="s">
        <v>772</v>
      </c>
      <c r="B109" s="32" t="s">
        <v>773</v>
      </c>
      <c r="C109" s="32"/>
      <c r="D109" s="32"/>
      <c r="E109" s="2" t="s">
        <v>22</v>
      </c>
    </row>
    <row r="111" spans="1:5" s="57" customFormat="1" ht="15.75">
      <c r="A111" s="54" t="s">
        <v>807</v>
      </c>
      <c r="B111" s="53" t="s">
        <v>775</v>
      </c>
      <c r="C111" s="55"/>
      <c r="D111" s="52" t="s">
        <v>75</v>
      </c>
      <c r="E111" s="56"/>
    </row>
    <row r="112" spans="1:5" ht="110.25">
      <c r="A112" s="32" t="s">
        <v>777</v>
      </c>
      <c r="B112" s="32" t="s">
        <v>778</v>
      </c>
      <c r="C112" s="34" t="s">
        <v>750</v>
      </c>
      <c r="D112" s="32" t="s">
        <v>779</v>
      </c>
      <c r="E112" s="2" t="s">
        <v>25</v>
      </c>
    </row>
    <row r="113" spans="1:4" ht="141.75">
      <c r="A113" s="32" t="s">
        <v>780</v>
      </c>
      <c r="B113" s="32" t="s">
        <v>781</v>
      </c>
      <c r="C113" s="32" t="s">
        <v>782</v>
      </c>
      <c r="D113" s="32"/>
    </row>
    <row r="114" spans="1:5" ht="94.5">
      <c r="A114" s="32" t="s">
        <v>783</v>
      </c>
      <c r="B114" s="32" t="s">
        <v>784</v>
      </c>
      <c r="C114" s="32"/>
      <c r="D114" s="32"/>
      <c r="E114" s="2" t="s">
        <v>26</v>
      </c>
    </row>
    <row r="115" spans="1:4" ht="63">
      <c r="A115" s="32" t="s">
        <v>785</v>
      </c>
      <c r="B115" s="32" t="s">
        <v>786</v>
      </c>
      <c r="C115" s="32"/>
      <c r="D115" s="32"/>
    </row>
    <row r="116" spans="1:5" ht="31.5">
      <c r="A116" s="32" t="s">
        <v>787</v>
      </c>
      <c r="B116" s="32" t="s">
        <v>788</v>
      </c>
      <c r="C116" s="32"/>
      <c r="D116" s="32"/>
      <c r="E116" s="2" t="s">
        <v>24</v>
      </c>
    </row>
    <row r="117" spans="1:4" ht="63">
      <c r="A117" s="32" t="s">
        <v>789</v>
      </c>
      <c r="B117" s="32" t="s">
        <v>790</v>
      </c>
      <c r="C117" s="32" t="s">
        <v>791</v>
      </c>
      <c r="D117" s="32"/>
    </row>
    <row r="118" spans="1:5" ht="173.25">
      <c r="A118" s="32" t="s">
        <v>792</v>
      </c>
      <c r="B118" s="32" t="s">
        <v>793</v>
      </c>
      <c r="C118" s="32"/>
      <c r="D118" s="32" t="s">
        <v>794</v>
      </c>
      <c r="E118" s="2" t="s">
        <v>27</v>
      </c>
    </row>
    <row r="119" spans="1:4" ht="110.25">
      <c r="A119" s="32" t="s">
        <v>795</v>
      </c>
      <c r="B119" s="32" t="s">
        <v>796</v>
      </c>
      <c r="C119" s="32"/>
      <c r="D119" s="32" t="s">
        <v>797</v>
      </c>
    </row>
    <row r="120" spans="1:4" ht="63">
      <c r="A120" s="32" t="s">
        <v>798</v>
      </c>
      <c r="B120" s="32" t="s">
        <v>764</v>
      </c>
      <c r="C120" s="32"/>
      <c r="D120" s="32"/>
    </row>
    <row r="121" spans="1:4" ht="31.5">
      <c r="A121" s="32" t="s">
        <v>799</v>
      </c>
      <c r="B121" s="32" t="s">
        <v>766</v>
      </c>
      <c r="C121" s="32"/>
      <c r="D121" s="32"/>
    </row>
    <row r="122" spans="1:5" ht="63">
      <c r="A122" s="32" t="s">
        <v>800</v>
      </c>
      <c r="B122" s="32" t="s">
        <v>801</v>
      </c>
      <c r="C122" s="32"/>
      <c r="D122" s="32"/>
      <c r="E122" s="2" t="s">
        <v>99</v>
      </c>
    </row>
    <row r="123" spans="1:4" ht="126">
      <c r="A123" s="32" t="s">
        <v>802</v>
      </c>
      <c r="B123" s="32" t="s">
        <v>803</v>
      </c>
      <c r="C123" s="32"/>
      <c r="D123" s="32"/>
    </row>
    <row r="124" spans="1:4" ht="31.5">
      <c r="A124" s="32" t="s">
        <v>804</v>
      </c>
      <c r="B124" s="32" t="s">
        <v>420</v>
      </c>
      <c r="C124" s="32"/>
      <c r="D124" s="32"/>
    </row>
    <row r="125" spans="1:4" ht="78.75">
      <c r="A125" s="32" t="s">
        <v>805</v>
      </c>
      <c r="B125" s="32" t="s">
        <v>421</v>
      </c>
      <c r="C125" s="32"/>
      <c r="D125" s="32"/>
    </row>
    <row r="126" spans="1:4" ht="47.25">
      <c r="A126" s="32" t="s">
        <v>806</v>
      </c>
      <c r="B126" s="32" t="s">
        <v>422</v>
      </c>
      <c r="C126" s="32"/>
      <c r="D126" s="32"/>
    </row>
    <row r="127" spans="1:4" ht="15.75">
      <c r="A127" s="32"/>
      <c r="B127" s="32"/>
      <c r="C127" s="32"/>
      <c r="D127" s="32"/>
    </row>
    <row r="128" spans="1:4" ht="15.75">
      <c r="A128" s="63" t="s">
        <v>83</v>
      </c>
      <c r="B128" s="138" t="s">
        <v>84</v>
      </c>
      <c r="C128" s="139"/>
      <c r="D128" s="32"/>
    </row>
    <row r="129" spans="1:4" ht="15.75">
      <c r="A129" s="63" t="s">
        <v>85</v>
      </c>
      <c r="B129" s="138" t="s">
        <v>86</v>
      </c>
      <c r="C129" s="139"/>
      <c r="D129" s="32"/>
    </row>
    <row r="130" spans="1:4" ht="15.75">
      <c r="A130" s="63">
        <v>10</v>
      </c>
      <c r="B130" s="138" t="s">
        <v>87</v>
      </c>
      <c r="C130" s="139"/>
      <c r="D130" s="32"/>
    </row>
    <row r="131" spans="1:4" ht="15.75">
      <c r="A131" s="63">
        <v>11</v>
      </c>
      <c r="B131" s="138" t="s">
        <v>88</v>
      </c>
      <c r="C131" s="139"/>
      <c r="D131" s="32"/>
    </row>
    <row r="132" spans="1:4" ht="15.75">
      <c r="A132" s="63">
        <v>12</v>
      </c>
      <c r="B132" s="138" t="s">
        <v>89</v>
      </c>
      <c r="C132" s="139"/>
      <c r="D132" s="32"/>
    </row>
    <row r="133" spans="1:4" ht="15.75">
      <c r="A133" s="63">
        <v>13</v>
      </c>
      <c r="B133" s="138" t="s">
        <v>90</v>
      </c>
      <c r="C133" s="139"/>
      <c r="D133" s="32"/>
    </row>
    <row r="135" spans="1:5" s="57" customFormat="1" ht="15.75">
      <c r="A135" s="54">
        <v>14</v>
      </c>
      <c r="B135" s="53" t="s">
        <v>808</v>
      </c>
      <c r="C135" s="55"/>
      <c r="D135" s="52" t="s">
        <v>79</v>
      </c>
      <c r="E135" s="56"/>
    </row>
    <row r="136" spans="1:4" ht="63">
      <c r="A136" s="32">
        <v>14.1</v>
      </c>
      <c r="B136" s="34" t="s">
        <v>809</v>
      </c>
      <c r="C136" s="34" t="s">
        <v>810</v>
      </c>
      <c r="D136" s="34"/>
    </row>
    <row r="137" spans="1:5" ht="94.5">
      <c r="A137" s="32">
        <v>14.2</v>
      </c>
      <c r="B137" s="34" t="s">
        <v>811</v>
      </c>
      <c r="C137" s="34" t="s">
        <v>812</v>
      </c>
      <c r="D137" s="34" t="s">
        <v>813</v>
      </c>
      <c r="E137" s="2" t="s">
        <v>28</v>
      </c>
    </row>
    <row r="138" spans="1:4" ht="31.5">
      <c r="A138" s="32">
        <v>14.3</v>
      </c>
      <c r="B138" s="34" t="s">
        <v>720</v>
      </c>
      <c r="C138" s="34" t="s">
        <v>721</v>
      </c>
      <c r="D138" s="34" t="s">
        <v>721</v>
      </c>
    </row>
    <row r="139" spans="1:5" ht="31.5">
      <c r="A139" s="32">
        <v>14.4</v>
      </c>
      <c r="B139" s="34" t="s">
        <v>814</v>
      </c>
      <c r="C139" s="34" t="s">
        <v>815</v>
      </c>
      <c r="D139" s="34" t="s">
        <v>815</v>
      </c>
      <c r="E139" s="2" t="s">
        <v>29</v>
      </c>
    </row>
    <row r="140" spans="1:5" ht="63">
      <c r="A140" s="32">
        <v>14.5</v>
      </c>
      <c r="B140" s="34" t="s">
        <v>816</v>
      </c>
      <c r="C140" s="32"/>
      <c r="D140" s="34"/>
      <c r="E140" s="2" t="s">
        <v>30</v>
      </c>
    </row>
    <row r="141" spans="1:5" ht="97.5">
      <c r="A141" s="32">
        <v>14.6</v>
      </c>
      <c r="B141" s="34" t="s">
        <v>817</v>
      </c>
      <c r="C141" s="32"/>
      <c r="D141" s="34" t="s">
        <v>818</v>
      </c>
      <c r="E141" s="2" t="s">
        <v>31</v>
      </c>
    </row>
    <row r="142" spans="1:4" ht="15.75">
      <c r="A142" s="32">
        <v>14.7</v>
      </c>
      <c r="B142" s="34" t="s">
        <v>723</v>
      </c>
      <c r="C142" s="34" t="s">
        <v>723</v>
      </c>
      <c r="D142" s="34"/>
    </row>
    <row r="143" spans="1:4" ht="15.75">
      <c r="A143" s="32">
        <v>14.8</v>
      </c>
      <c r="B143" s="34" t="s">
        <v>724</v>
      </c>
      <c r="C143" s="34" t="s">
        <v>724</v>
      </c>
      <c r="D143" s="34"/>
    </row>
    <row r="145" spans="1:4" ht="15.75">
      <c r="A145" s="54">
        <v>15</v>
      </c>
      <c r="B145" s="53" t="s">
        <v>819</v>
      </c>
      <c r="D145" s="52" t="s">
        <v>80</v>
      </c>
    </row>
    <row r="146" spans="1:4" ht="78.75">
      <c r="A146" s="32">
        <v>15.1</v>
      </c>
      <c r="B146" s="33" t="s">
        <v>820</v>
      </c>
      <c r="C146" s="34"/>
      <c r="D146" s="32"/>
    </row>
    <row r="147" spans="1:5" ht="110.25">
      <c r="A147" s="32">
        <v>15.2</v>
      </c>
      <c r="B147" s="33" t="s">
        <v>821</v>
      </c>
      <c r="C147" s="34" t="s">
        <v>822</v>
      </c>
      <c r="D147" s="32"/>
      <c r="E147" s="2" t="s">
        <v>32</v>
      </c>
    </row>
    <row r="148" spans="1:4" ht="126">
      <c r="A148" s="32">
        <v>15.3</v>
      </c>
      <c r="B148" s="33" t="s">
        <v>823</v>
      </c>
      <c r="C148" s="34" t="s">
        <v>824</v>
      </c>
      <c r="D148" s="32" t="s">
        <v>825</v>
      </c>
    </row>
    <row r="149" spans="1:4" ht="31.5">
      <c r="A149" s="32">
        <v>15.4</v>
      </c>
      <c r="B149" s="33" t="s">
        <v>826</v>
      </c>
      <c r="C149" s="34"/>
      <c r="D149" s="32"/>
    </row>
    <row r="150" spans="1:4" ht="78.75">
      <c r="A150" s="32">
        <v>15.5</v>
      </c>
      <c r="B150" s="33" t="s">
        <v>827</v>
      </c>
      <c r="C150" s="34" t="s">
        <v>828</v>
      </c>
      <c r="D150" s="34" t="s">
        <v>829</v>
      </c>
    </row>
    <row r="151" spans="1:4" ht="78.75">
      <c r="A151" s="32">
        <v>15.6</v>
      </c>
      <c r="B151" s="33" t="s">
        <v>830</v>
      </c>
      <c r="C151" s="32" t="s">
        <v>831</v>
      </c>
      <c r="D151" s="32" t="s">
        <v>846</v>
      </c>
    </row>
    <row r="152" spans="1:5" ht="47.25">
      <c r="A152" s="32">
        <v>15.7</v>
      </c>
      <c r="B152" s="33" t="s">
        <v>832</v>
      </c>
      <c r="C152" s="34" t="s">
        <v>833</v>
      </c>
      <c r="D152" s="34" t="s">
        <v>834</v>
      </c>
      <c r="E152" s="2" t="s">
        <v>21</v>
      </c>
    </row>
    <row r="153" spans="1:5" ht="63">
      <c r="A153" s="32">
        <v>15.8</v>
      </c>
      <c r="B153" s="33" t="s">
        <v>835</v>
      </c>
      <c r="C153" s="34"/>
      <c r="D153" s="34" t="s">
        <v>836</v>
      </c>
      <c r="E153" s="2" t="s">
        <v>33</v>
      </c>
    </row>
    <row r="154" spans="1:5" ht="78.75">
      <c r="A154" s="32">
        <v>15.9</v>
      </c>
      <c r="B154" s="34" t="s">
        <v>837</v>
      </c>
      <c r="C154" s="34" t="s">
        <v>838</v>
      </c>
      <c r="D154" s="34" t="s">
        <v>847</v>
      </c>
      <c r="E154" s="2" t="s">
        <v>34</v>
      </c>
    </row>
    <row r="155" spans="1:5" ht="94.5">
      <c r="A155" s="36" t="s">
        <v>848</v>
      </c>
      <c r="B155" s="34" t="s">
        <v>839</v>
      </c>
      <c r="C155" s="34"/>
      <c r="D155" s="34" t="s">
        <v>840</v>
      </c>
      <c r="E155" s="2" t="s">
        <v>35</v>
      </c>
    </row>
    <row r="156" spans="1:4" ht="126">
      <c r="A156" s="37">
        <v>15.11</v>
      </c>
      <c r="B156" s="34" t="s">
        <v>841</v>
      </c>
      <c r="C156" s="34"/>
      <c r="D156" s="34" t="s">
        <v>842</v>
      </c>
    </row>
    <row r="157" spans="1:4" ht="110.25">
      <c r="A157" s="37">
        <v>15.12</v>
      </c>
      <c r="B157" s="34" t="s">
        <v>843</v>
      </c>
      <c r="C157" s="34"/>
      <c r="D157" s="34"/>
    </row>
    <row r="158" spans="1:5" ht="47.25">
      <c r="A158" s="37">
        <v>15.13</v>
      </c>
      <c r="B158" s="34" t="s">
        <v>844</v>
      </c>
      <c r="C158" s="34"/>
      <c r="D158" s="34"/>
      <c r="E158" s="2" t="s">
        <v>19</v>
      </c>
    </row>
    <row r="159" spans="1:4" ht="110.25">
      <c r="A159" s="37">
        <v>15.14</v>
      </c>
      <c r="B159" s="34" t="s">
        <v>845</v>
      </c>
      <c r="C159" s="34"/>
      <c r="D159" s="32"/>
    </row>
    <row r="161" spans="1:5" s="57" customFormat="1" ht="15.75">
      <c r="A161" s="54">
        <v>16</v>
      </c>
      <c r="B161" s="53" t="s">
        <v>849</v>
      </c>
      <c r="C161" s="55"/>
      <c r="D161" s="52" t="s">
        <v>80</v>
      </c>
      <c r="E161" s="56"/>
    </row>
    <row r="162" spans="1:5" ht="220.5">
      <c r="A162" s="32">
        <v>16.1</v>
      </c>
      <c r="B162" s="33" t="s">
        <v>850</v>
      </c>
      <c r="C162" s="34" t="s">
        <v>886</v>
      </c>
      <c r="D162" s="32"/>
      <c r="E162" s="32"/>
    </row>
    <row r="163" spans="1:5" ht="31.5">
      <c r="A163" s="32">
        <v>16.2</v>
      </c>
      <c r="B163" s="33" t="s">
        <v>826</v>
      </c>
      <c r="C163" s="34"/>
      <c r="D163" s="32" t="s">
        <v>851</v>
      </c>
      <c r="E163" s="32"/>
    </row>
    <row r="164" spans="1:5" ht="63">
      <c r="A164" s="32">
        <v>16.3</v>
      </c>
      <c r="B164" s="33" t="s">
        <v>852</v>
      </c>
      <c r="C164" s="34"/>
      <c r="D164" s="34" t="s">
        <v>853</v>
      </c>
      <c r="E164" s="34"/>
    </row>
    <row r="165" spans="1:5" ht="126">
      <c r="A165" s="32">
        <v>16.4</v>
      </c>
      <c r="B165" s="33" t="s">
        <v>854</v>
      </c>
      <c r="C165" s="32" t="s">
        <v>887</v>
      </c>
      <c r="D165" s="32" t="s">
        <v>855</v>
      </c>
      <c r="E165" s="32" t="s">
        <v>39</v>
      </c>
    </row>
    <row r="166" spans="1:5" ht="31.5">
      <c r="A166" s="32">
        <v>16.5</v>
      </c>
      <c r="B166" s="33" t="s">
        <v>856</v>
      </c>
      <c r="C166" s="34"/>
      <c r="D166" s="34" t="s">
        <v>857</v>
      </c>
      <c r="E166" s="34" t="s">
        <v>26</v>
      </c>
    </row>
    <row r="167" spans="1:5" ht="47.25">
      <c r="A167" s="32">
        <v>16.6</v>
      </c>
      <c r="B167" s="33" t="s">
        <v>858</v>
      </c>
      <c r="C167" s="34"/>
      <c r="D167" s="34" t="s">
        <v>859</v>
      </c>
      <c r="E167" s="34" t="s">
        <v>33</v>
      </c>
    </row>
    <row r="168" spans="1:5" ht="47.25">
      <c r="A168" s="32">
        <v>16.7</v>
      </c>
      <c r="B168" s="33" t="s">
        <v>860</v>
      </c>
      <c r="C168" s="34" t="s">
        <v>861</v>
      </c>
      <c r="D168" s="34" t="s">
        <v>878</v>
      </c>
      <c r="E168" s="34" t="s">
        <v>23</v>
      </c>
    </row>
    <row r="169" spans="1:5" ht="63" customHeight="1">
      <c r="A169" s="32">
        <v>16.8</v>
      </c>
      <c r="B169" s="33" t="s">
        <v>879</v>
      </c>
      <c r="C169" s="34"/>
      <c r="D169" s="34" t="s">
        <v>840</v>
      </c>
      <c r="E169" s="34" t="s">
        <v>35</v>
      </c>
    </row>
    <row r="170" spans="1:5" ht="63">
      <c r="A170" s="32">
        <v>16.9</v>
      </c>
      <c r="B170" s="33" t="s">
        <v>880</v>
      </c>
      <c r="C170" s="34"/>
      <c r="D170" s="34" t="s">
        <v>881</v>
      </c>
      <c r="E170" s="34" t="s">
        <v>36</v>
      </c>
    </row>
    <row r="171" spans="1:5" ht="94.5">
      <c r="A171" s="36" t="s">
        <v>888</v>
      </c>
      <c r="B171" s="33" t="s">
        <v>882</v>
      </c>
      <c r="C171" s="32"/>
      <c r="D171" s="32"/>
      <c r="E171" s="32"/>
    </row>
    <row r="172" spans="1:5" ht="110.25">
      <c r="A172" s="37">
        <v>16.11</v>
      </c>
      <c r="B172" s="34" t="s">
        <v>883</v>
      </c>
      <c r="C172" s="34"/>
      <c r="D172" s="34"/>
      <c r="E172" s="34"/>
    </row>
    <row r="173" spans="1:5" ht="47.25">
      <c r="A173" s="37">
        <v>16.12</v>
      </c>
      <c r="B173" s="34" t="s">
        <v>884</v>
      </c>
      <c r="C173" s="34"/>
      <c r="D173" s="34"/>
      <c r="E173" s="34" t="s">
        <v>19</v>
      </c>
    </row>
    <row r="174" spans="1:5" ht="63">
      <c r="A174" s="37">
        <v>16.13</v>
      </c>
      <c r="B174" s="33" t="s">
        <v>885</v>
      </c>
      <c r="C174" s="34"/>
      <c r="D174" s="32"/>
      <c r="E174" s="32"/>
    </row>
    <row r="176" spans="1:5" s="57" customFormat="1" ht="15.75">
      <c r="A176" s="54">
        <v>17</v>
      </c>
      <c r="B176" s="53" t="s">
        <v>889</v>
      </c>
      <c r="C176" s="55"/>
      <c r="D176" s="52" t="s">
        <v>82</v>
      </c>
      <c r="E176" s="56"/>
    </row>
    <row r="177" spans="1:4" ht="63">
      <c r="A177" s="32">
        <v>17.1</v>
      </c>
      <c r="B177" s="33" t="s">
        <v>890</v>
      </c>
      <c r="C177" s="34"/>
      <c r="D177" s="32"/>
    </row>
    <row r="178" spans="1:5" ht="141.75">
      <c r="A178" s="32">
        <v>17.2</v>
      </c>
      <c r="B178" s="33" t="s">
        <v>891</v>
      </c>
      <c r="C178" s="34" t="s">
        <v>921</v>
      </c>
      <c r="D178" s="32"/>
      <c r="E178" s="2" t="s">
        <v>37</v>
      </c>
    </row>
    <row r="179" spans="1:4" ht="94.5">
      <c r="A179" s="32">
        <v>17.3</v>
      </c>
      <c r="B179" s="34" t="s">
        <v>892</v>
      </c>
      <c r="C179" s="34"/>
      <c r="D179" s="32"/>
    </row>
    <row r="180" spans="1:4" ht="110.25">
      <c r="A180" s="32">
        <v>17.4</v>
      </c>
      <c r="B180" s="33" t="s">
        <v>893</v>
      </c>
      <c r="C180" s="34" t="s">
        <v>81</v>
      </c>
      <c r="D180" s="32"/>
    </row>
    <row r="181" spans="1:5" ht="47.25">
      <c r="A181" s="32">
        <v>17.5</v>
      </c>
      <c r="B181" s="34" t="s">
        <v>894</v>
      </c>
      <c r="C181" s="32" t="s">
        <v>431</v>
      </c>
      <c r="D181" s="32" t="s">
        <v>895</v>
      </c>
      <c r="E181" s="2" t="s">
        <v>26</v>
      </c>
    </row>
    <row r="182" spans="1:5" ht="31.5">
      <c r="A182" s="32">
        <v>17.6</v>
      </c>
      <c r="B182" s="33" t="s">
        <v>896</v>
      </c>
      <c r="C182" s="32"/>
      <c r="D182" s="32" t="s">
        <v>897</v>
      </c>
      <c r="E182" s="2" t="s">
        <v>9</v>
      </c>
    </row>
    <row r="183" spans="1:5" ht="31.5">
      <c r="A183" s="32">
        <v>17.7</v>
      </c>
      <c r="B183" s="33" t="s">
        <v>898</v>
      </c>
      <c r="C183" s="32"/>
      <c r="D183" s="32" t="s">
        <v>899</v>
      </c>
      <c r="E183" s="2" t="s">
        <v>33</v>
      </c>
    </row>
    <row r="184" spans="1:5" ht="63">
      <c r="A184" s="32">
        <v>17.8</v>
      </c>
      <c r="B184" s="34" t="s">
        <v>900</v>
      </c>
      <c r="C184" s="34" t="s">
        <v>408</v>
      </c>
      <c r="D184" s="32" t="s">
        <v>901</v>
      </c>
      <c r="E184" s="2" t="s">
        <v>97</v>
      </c>
    </row>
    <row r="185" spans="1:5" ht="110.25">
      <c r="A185" s="32">
        <v>17.9</v>
      </c>
      <c r="B185" s="34" t="s">
        <v>902</v>
      </c>
      <c r="C185" s="34" t="s">
        <v>903</v>
      </c>
      <c r="D185" s="32" t="s">
        <v>902</v>
      </c>
      <c r="E185" s="2" t="s">
        <v>38</v>
      </c>
    </row>
    <row r="186" spans="1:5" ht="47.25">
      <c r="A186" s="36" t="s">
        <v>72</v>
      </c>
      <c r="B186" s="34" t="s">
        <v>904</v>
      </c>
      <c r="C186" s="34"/>
      <c r="D186" s="32" t="s">
        <v>905</v>
      </c>
      <c r="E186" s="2" t="s">
        <v>105</v>
      </c>
    </row>
    <row r="187" spans="1:4" ht="63">
      <c r="A187" s="37">
        <v>17.11</v>
      </c>
      <c r="B187" s="34" t="s">
        <v>906</v>
      </c>
      <c r="C187" s="34" t="s">
        <v>907</v>
      </c>
      <c r="D187" s="32"/>
    </row>
    <row r="188" spans="1:4" ht="47.25">
      <c r="A188" s="37">
        <v>17.12</v>
      </c>
      <c r="B188" s="34" t="s">
        <v>918</v>
      </c>
      <c r="C188" s="32"/>
      <c r="D188" s="32"/>
    </row>
    <row r="189" spans="1:4" ht="47.25">
      <c r="A189" s="37">
        <v>17.13</v>
      </c>
      <c r="B189" s="34" t="s">
        <v>919</v>
      </c>
      <c r="C189" s="32"/>
      <c r="D189" s="32"/>
    </row>
    <row r="190" spans="1:4" ht="31.5">
      <c r="A190" s="37">
        <v>17.14</v>
      </c>
      <c r="B190" s="34" t="s">
        <v>420</v>
      </c>
      <c r="C190" s="32"/>
      <c r="D190" s="32"/>
    </row>
    <row r="191" spans="1:4" ht="94.5">
      <c r="A191" s="37">
        <v>17.15</v>
      </c>
      <c r="B191" s="34" t="s">
        <v>920</v>
      </c>
      <c r="C191" s="32"/>
      <c r="D191" s="32"/>
    </row>
    <row r="192" spans="1:4" ht="47.25">
      <c r="A192" s="37">
        <v>17.16</v>
      </c>
      <c r="B192" s="34" t="s">
        <v>422</v>
      </c>
      <c r="C192" s="32"/>
      <c r="D192" s="32"/>
    </row>
  </sheetData>
  <mergeCells count="10">
    <mergeCell ref="A69:A70"/>
    <mergeCell ref="B69:B70"/>
    <mergeCell ref="C69:C70"/>
    <mergeCell ref="B133:C133"/>
    <mergeCell ref="D69:D70"/>
    <mergeCell ref="B130:C130"/>
    <mergeCell ref="B131:C131"/>
    <mergeCell ref="B132:C132"/>
    <mergeCell ref="B128:C128"/>
    <mergeCell ref="B129:C129"/>
  </mergeCells>
  <printOptions gridLines="1"/>
  <pageMargins left="0.34" right="0.16" top="0.6" bottom="0.52" header="0.38" footer="0.27"/>
  <pageSetup horizontalDpi="600" verticalDpi="600" orientation="portrait" r:id="rId3"/>
  <legacyDrawing r:id="rId2"/>
  <oleObjects>
    <oleObject progId="Equation.3" shapeId="69682000" r:id="rId1"/>
  </oleObjects>
</worksheet>
</file>

<file path=xl/worksheets/sheet10.xml><?xml version="1.0" encoding="utf-8"?>
<worksheet xmlns="http://schemas.openxmlformats.org/spreadsheetml/2006/main" xmlns:r="http://schemas.openxmlformats.org/officeDocument/2006/relationships">
  <dimension ref="A1:E30"/>
  <sheetViews>
    <sheetView workbookViewId="0" topLeftCell="A1">
      <selection activeCell="B12" sqref="B12"/>
    </sheetView>
  </sheetViews>
  <sheetFormatPr defaultColWidth="9.140625" defaultRowHeight="12.75"/>
  <cols>
    <col min="1" max="1" width="4.140625" style="1" customWidth="1"/>
    <col min="2" max="3" width="24.7109375" style="0" customWidth="1"/>
    <col min="4" max="4" width="57.28125" style="0" customWidth="1"/>
    <col min="5" max="5" width="18.7109375" style="0" customWidth="1"/>
  </cols>
  <sheetData>
    <row r="1" spans="1:5" s="65" customFormat="1" ht="12.75">
      <c r="A1" s="64" t="s">
        <v>114</v>
      </c>
      <c r="B1" s="64" t="s">
        <v>112</v>
      </c>
      <c r="C1" s="64" t="s">
        <v>116</v>
      </c>
      <c r="D1" s="64" t="s">
        <v>124</v>
      </c>
      <c r="E1" s="64" t="s">
        <v>113</v>
      </c>
    </row>
    <row r="2" spans="1:5" ht="25.5">
      <c r="A2" s="1">
        <v>1</v>
      </c>
      <c r="B2" s="2" t="s">
        <v>136</v>
      </c>
      <c r="C2" s="2"/>
      <c r="D2" s="2" t="s">
        <v>137</v>
      </c>
      <c r="E2" s="2" t="s">
        <v>138</v>
      </c>
    </row>
    <row r="3" spans="1:5" ht="25.5">
      <c r="A3" s="1">
        <f>A2+1</f>
        <v>2</v>
      </c>
      <c r="B3" s="2" t="s">
        <v>331</v>
      </c>
      <c r="C3" s="2"/>
      <c r="D3" s="2" t="s">
        <v>338</v>
      </c>
      <c r="E3" s="2" t="s">
        <v>40</v>
      </c>
    </row>
    <row r="4" spans="1:5" ht="89.25">
      <c r="A4" s="1">
        <f>A3+1</f>
        <v>3</v>
      </c>
      <c r="B4" s="2" t="s">
        <v>141</v>
      </c>
      <c r="C4" s="2" t="s">
        <v>142</v>
      </c>
      <c r="D4" s="2" t="s">
        <v>143</v>
      </c>
      <c r="E4" s="2"/>
    </row>
    <row r="5" spans="1:5" ht="25.5">
      <c r="A5" s="1">
        <f>A4+1</f>
        <v>4</v>
      </c>
      <c r="B5" s="2" t="s">
        <v>144</v>
      </c>
      <c r="C5" s="2" t="s">
        <v>149</v>
      </c>
      <c r="D5" s="2" t="s">
        <v>145</v>
      </c>
      <c r="E5" s="2"/>
    </row>
    <row r="6" spans="1:5" ht="25.5">
      <c r="A6" s="1">
        <f aca="true" t="shared" si="0" ref="A6:A22">A5+1</f>
        <v>5</v>
      </c>
      <c r="B6" s="2" t="s">
        <v>146</v>
      </c>
      <c r="C6" s="2"/>
      <c r="D6" s="2" t="s">
        <v>147</v>
      </c>
      <c r="E6" s="2"/>
    </row>
    <row r="7" spans="1:5" ht="25.5">
      <c r="A7" s="1">
        <f t="shared" si="0"/>
        <v>6</v>
      </c>
      <c r="B7" s="2" t="s">
        <v>148</v>
      </c>
      <c r="C7" s="2"/>
      <c r="D7" s="2"/>
      <c r="E7" s="2"/>
    </row>
    <row r="8" spans="1:5" ht="25.5">
      <c r="A8" s="1">
        <f t="shared" si="0"/>
        <v>7</v>
      </c>
      <c r="B8" s="2" t="s">
        <v>151</v>
      </c>
      <c r="C8" s="2"/>
      <c r="D8" s="2" t="s">
        <v>152</v>
      </c>
      <c r="E8" s="2"/>
    </row>
    <row r="9" spans="1:5" ht="25.5">
      <c r="A9" s="1">
        <f t="shared" si="0"/>
        <v>8</v>
      </c>
      <c r="B9" s="2" t="s">
        <v>150</v>
      </c>
      <c r="C9" s="2"/>
      <c r="D9" s="2" t="s">
        <v>153</v>
      </c>
      <c r="E9" s="2"/>
    </row>
    <row r="10" spans="1:5" ht="38.25">
      <c r="A10" s="1">
        <f t="shared" si="0"/>
        <v>9</v>
      </c>
      <c r="B10" s="2" t="s">
        <v>154</v>
      </c>
      <c r="C10" s="2" t="s">
        <v>155</v>
      </c>
      <c r="D10" s="2" t="s">
        <v>320</v>
      </c>
      <c r="E10" s="2"/>
    </row>
    <row r="11" spans="1:5" ht="12.75">
      <c r="A11" s="1">
        <f t="shared" si="0"/>
        <v>10</v>
      </c>
      <c r="B11" s="2" t="s">
        <v>336</v>
      </c>
      <c r="C11" s="2"/>
      <c r="D11" s="2"/>
      <c r="E11" s="2"/>
    </row>
    <row r="12" spans="1:5" ht="25.5">
      <c r="A12" s="1">
        <f t="shared" si="0"/>
        <v>11</v>
      </c>
      <c r="B12" s="2" t="s">
        <v>337</v>
      </c>
      <c r="C12" s="2"/>
      <c r="D12" s="2" t="s">
        <v>41</v>
      </c>
      <c r="E12" s="2"/>
    </row>
    <row r="13" spans="1:5" ht="25.5">
      <c r="A13" s="1">
        <f t="shared" si="0"/>
        <v>12</v>
      </c>
      <c r="B13" s="2" t="s">
        <v>326</v>
      </c>
      <c r="C13" s="2"/>
      <c r="D13" s="2" t="s">
        <v>322</v>
      </c>
      <c r="E13" s="2"/>
    </row>
    <row r="14" spans="1:5" ht="38.25">
      <c r="A14" s="1">
        <f t="shared" si="0"/>
        <v>13</v>
      </c>
      <c r="B14" s="2" t="s">
        <v>321</v>
      </c>
      <c r="C14" s="2" t="s">
        <v>323</v>
      </c>
      <c r="D14" s="2" t="s">
        <v>322</v>
      </c>
      <c r="E14" s="2"/>
    </row>
    <row r="15" spans="1:5" ht="51">
      <c r="A15" s="1">
        <f t="shared" si="0"/>
        <v>14</v>
      </c>
      <c r="B15" s="2" t="s">
        <v>324</v>
      </c>
      <c r="C15" s="2"/>
      <c r="D15" s="2" t="s">
        <v>325</v>
      </c>
      <c r="E15" s="2"/>
    </row>
    <row r="16" spans="1:5" ht="12.75">
      <c r="A16" s="1">
        <f t="shared" si="0"/>
        <v>15</v>
      </c>
      <c r="B16" s="2"/>
      <c r="C16" s="2"/>
      <c r="D16" s="2"/>
      <c r="E16" s="2"/>
    </row>
    <row r="17" spans="1:5" ht="12.75">
      <c r="A17" s="1">
        <f t="shared" si="0"/>
        <v>16</v>
      </c>
      <c r="B17" s="2"/>
      <c r="C17" s="2"/>
      <c r="D17" s="2"/>
      <c r="E17" s="2"/>
    </row>
    <row r="18" spans="1:5" ht="12.75">
      <c r="A18" s="1">
        <f t="shared" si="0"/>
        <v>17</v>
      </c>
      <c r="B18" s="2"/>
      <c r="C18" s="2"/>
      <c r="D18" s="2"/>
      <c r="E18" s="2"/>
    </row>
    <row r="19" spans="1:5" ht="12.75">
      <c r="A19" s="1">
        <f t="shared" si="0"/>
        <v>18</v>
      </c>
      <c r="B19" s="2"/>
      <c r="C19" s="2"/>
      <c r="D19" s="2"/>
      <c r="E19" s="2"/>
    </row>
    <row r="20" spans="1:5" ht="12.75">
      <c r="A20" s="1">
        <f t="shared" si="0"/>
        <v>19</v>
      </c>
      <c r="B20" s="2"/>
      <c r="C20" s="2"/>
      <c r="D20" s="2"/>
      <c r="E20" s="2"/>
    </row>
    <row r="21" spans="1:5" ht="12.75">
      <c r="A21" s="1">
        <f t="shared" si="0"/>
        <v>20</v>
      </c>
      <c r="B21" s="2"/>
      <c r="C21" s="2"/>
      <c r="D21" s="2"/>
      <c r="E21" s="2"/>
    </row>
    <row r="22" spans="1:5" ht="12.75">
      <c r="A22" s="1">
        <f t="shared" si="0"/>
        <v>21</v>
      </c>
      <c r="B22" s="2"/>
      <c r="C22" s="2"/>
      <c r="D22" s="2"/>
      <c r="E22" s="2"/>
    </row>
    <row r="23" spans="2:5" ht="12.75">
      <c r="B23" s="2"/>
      <c r="C23" s="2"/>
      <c r="D23" s="2"/>
      <c r="E23" s="2"/>
    </row>
    <row r="24" spans="2:5" ht="12.75">
      <c r="B24" s="2"/>
      <c r="C24" s="2"/>
      <c r="D24" s="2"/>
      <c r="E24" s="2"/>
    </row>
    <row r="25" spans="2:5" ht="12.75">
      <c r="B25" s="2"/>
      <c r="C25" s="2"/>
      <c r="D25" s="2"/>
      <c r="E25" s="2"/>
    </row>
    <row r="26" spans="2:5" ht="12.75">
      <c r="B26" s="2"/>
      <c r="C26" s="2"/>
      <c r="D26" s="2"/>
      <c r="E26" s="2"/>
    </row>
    <row r="27" spans="2:5" ht="12.75">
      <c r="B27" s="2"/>
      <c r="C27" s="2"/>
      <c r="D27" s="2"/>
      <c r="E27" s="2"/>
    </row>
    <row r="28" spans="2:5" ht="12.75">
      <c r="B28" s="2"/>
      <c r="C28" s="2"/>
      <c r="D28" s="2"/>
      <c r="E28" s="2"/>
    </row>
    <row r="29" spans="2:5" ht="12.75">
      <c r="B29" s="2"/>
      <c r="C29" s="2"/>
      <c r="D29" s="2"/>
      <c r="E29" s="2"/>
    </row>
    <row r="30" spans="2:5" ht="12.75">
      <c r="B30" s="2"/>
      <c r="C30" s="2"/>
      <c r="D30" s="2"/>
      <c r="E30" s="2"/>
    </row>
  </sheetData>
  <printOptions gridLines="1"/>
  <pageMargins left="0.43" right="0.43"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27"/>
  <sheetViews>
    <sheetView workbookViewId="0" topLeftCell="A1">
      <selection activeCell="B7" sqref="B7"/>
    </sheetView>
  </sheetViews>
  <sheetFormatPr defaultColWidth="9.140625" defaultRowHeight="12.75"/>
  <cols>
    <col min="1" max="1" width="4.140625" style="1" customWidth="1"/>
    <col min="2" max="3" width="24.7109375" style="0" customWidth="1"/>
    <col min="4" max="4" width="57.28125" style="0" customWidth="1"/>
    <col min="5" max="5" width="18.7109375" style="0" customWidth="1"/>
  </cols>
  <sheetData>
    <row r="1" spans="1:5" s="65" customFormat="1" ht="12.75">
      <c r="A1" s="64" t="s">
        <v>114</v>
      </c>
      <c r="B1" s="64" t="s">
        <v>112</v>
      </c>
      <c r="C1" s="64" t="s">
        <v>116</v>
      </c>
      <c r="D1" s="64" t="s">
        <v>124</v>
      </c>
      <c r="E1" s="64" t="s">
        <v>113</v>
      </c>
    </row>
    <row r="2" spans="1:5" ht="63.75">
      <c r="A2" s="1">
        <v>1</v>
      </c>
      <c r="B2" s="2" t="s">
        <v>115</v>
      </c>
      <c r="C2" s="2" t="s">
        <v>117</v>
      </c>
      <c r="D2" s="2" t="s">
        <v>125</v>
      </c>
      <c r="E2" s="2" t="s">
        <v>118</v>
      </c>
    </row>
    <row r="3" spans="1:5" ht="25.5">
      <c r="A3" s="1">
        <f>A2+1</f>
        <v>2</v>
      </c>
      <c r="B3" s="2" t="s">
        <v>119</v>
      </c>
      <c r="C3" s="2"/>
      <c r="D3" s="2" t="s">
        <v>126</v>
      </c>
      <c r="E3" s="2"/>
    </row>
    <row r="4" spans="1:5" s="17" customFormat="1" ht="63.75">
      <c r="A4" s="113">
        <f aca="true" t="shared" si="0" ref="A4:A19">A3+1</f>
        <v>3</v>
      </c>
      <c r="B4" s="111" t="s">
        <v>120</v>
      </c>
      <c r="C4" s="111" t="s">
        <v>562</v>
      </c>
      <c r="D4" s="111" t="s">
        <v>563</v>
      </c>
      <c r="E4" s="111" t="s">
        <v>564</v>
      </c>
    </row>
    <row r="5" spans="1:5" ht="25.5">
      <c r="A5" s="1">
        <f t="shared" si="0"/>
        <v>4</v>
      </c>
      <c r="B5" s="2" t="s">
        <v>121</v>
      </c>
      <c r="C5" s="2"/>
      <c r="D5" s="2" t="s">
        <v>127</v>
      </c>
      <c r="E5" s="2"/>
    </row>
    <row r="6" spans="1:5" ht="38.25">
      <c r="A6" s="1">
        <f t="shared" si="0"/>
        <v>5</v>
      </c>
      <c r="B6" s="2" t="s">
        <v>122</v>
      </c>
      <c r="C6" s="2"/>
      <c r="D6" s="2" t="s">
        <v>127</v>
      </c>
      <c r="E6" s="2"/>
    </row>
    <row r="7" spans="1:5" ht="38.25">
      <c r="A7" s="1">
        <f t="shared" si="0"/>
        <v>6</v>
      </c>
      <c r="B7" s="2" t="s">
        <v>123</v>
      </c>
      <c r="C7" s="2"/>
      <c r="D7" s="2" t="s">
        <v>128</v>
      </c>
      <c r="E7" s="2"/>
    </row>
    <row r="8" spans="1:5" ht="12.75">
      <c r="A8" s="1">
        <f t="shared" si="0"/>
        <v>7</v>
      </c>
      <c r="B8" s="2"/>
      <c r="C8" s="2"/>
      <c r="D8" s="2"/>
      <c r="E8" s="2"/>
    </row>
    <row r="9" spans="1:5" ht="12.75">
      <c r="A9" s="1">
        <f t="shared" si="0"/>
        <v>8</v>
      </c>
      <c r="B9" s="2"/>
      <c r="C9" s="2"/>
      <c r="D9" s="2"/>
      <c r="E9" s="2"/>
    </row>
    <row r="10" spans="1:5" ht="12.75">
      <c r="A10" s="1">
        <f t="shared" si="0"/>
        <v>9</v>
      </c>
      <c r="B10" s="2"/>
      <c r="C10" s="2"/>
      <c r="D10" s="2"/>
      <c r="E10" s="2"/>
    </row>
    <row r="11" spans="1:5" ht="12.75">
      <c r="A11" s="1">
        <f t="shared" si="0"/>
        <v>10</v>
      </c>
      <c r="B11" s="2"/>
      <c r="C11" s="2"/>
      <c r="D11" s="2"/>
      <c r="E11" s="2"/>
    </row>
    <row r="12" spans="1:5" ht="12.75">
      <c r="A12" s="1">
        <f t="shared" si="0"/>
        <v>11</v>
      </c>
      <c r="B12" s="2"/>
      <c r="C12" s="2"/>
      <c r="D12" s="2"/>
      <c r="E12" s="2"/>
    </row>
    <row r="13" spans="1:5" ht="12.75">
      <c r="A13" s="1">
        <f t="shared" si="0"/>
        <v>12</v>
      </c>
      <c r="B13" s="2"/>
      <c r="C13" s="2"/>
      <c r="D13" s="2"/>
      <c r="E13" s="2"/>
    </row>
    <row r="14" spans="1:5" ht="12.75">
      <c r="A14" s="1">
        <f t="shared" si="0"/>
        <v>13</v>
      </c>
      <c r="B14" s="2"/>
      <c r="C14" s="2"/>
      <c r="D14" s="2"/>
      <c r="E14" s="2"/>
    </row>
    <row r="15" spans="1:5" ht="12.75">
      <c r="A15" s="1">
        <f t="shared" si="0"/>
        <v>14</v>
      </c>
      <c r="B15" s="2"/>
      <c r="C15" s="2"/>
      <c r="D15" s="2"/>
      <c r="E15" s="2"/>
    </row>
    <row r="16" spans="1:5" ht="12.75">
      <c r="A16" s="1">
        <f t="shared" si="0"/>
        <v>15</v>
      </c>
      <c r="B16" s="2"/>
      <c r="C16" s="2"/>
      <c r="D16" s="2"/>
      <c r="E16" s="2"/>
    </row>
    <row r="17" spans="1:5" ht="12.75">
      <c r="A17" s="1">
        <f t="shared" si="0"/>
        <v>16</v>
      </c>
      <c r="B17" s="2"/>
      <c r="C17" s="2"/>
      <c r="D17" s="2"/>
      <c r="E17" s="2"/>
    </row>
    <row r="18" spans="1:5" ht="12.75">
      <c r="A18" s="1">
        <f t="shared" si="0"/>
        <v>17</v>
      </c>
      <c r="B18" s="2"/>
      <c r="C18" s="2"/>
      <c r="D18" s="2"/>
      <c r="E18" s="2"/>
    </row>
    <row r="19" spans="1:5" ht="12.75">
      <c r="A19" s="1">
        <f t="shared" si="0"/>
        <v>18</v>
      </c>
      <c r="B19" s="2"/>
      <c r="C19" s="2"/>
      <c r="D19" s="2"/>
      <c r="E19" s="2"/>
    </row>
    <row r="20" spans="2:5" ht="12.75">
      <c r="B20" s="2"/>
      <c r="C20" s="2"/>
      <c r="D20" s="2"/>
      <c r="E20" s="2"/>
    </row>
    <row r="21" spans="2:5" ht="12.75">
      <c r="B21" s="2"/>
      <c r="C21" s="2"/>
      <c r="D21" s="109" t="s">
        <v>565</v>
      </c>
      <c r="E21" s="2">
        <f>0.25</f>
        <v>0.25</v>
      </c>
    </row>
    <row r="22" spans="2:5" ht="12.75">
      <c r="B22" s="2"/>
      <c r="C22" s="2"/>
      <c r="D22" s="2"/>
      <c r="E22" s="2"/>
    </row>
    <row r="23" spans="2:5" ht="12.75">
      <c r="B23" s="2"/>
      <c r="C23" s="2"/>
      <c r="D23" s="2"/>
      <c r="E23" s="2"/>
    </row>
    <row r="24" spans="2:5" ht="12.75">
      <c r="B24" s="2"/>
      <c r="C24" s="2"/>
      <c r="D24" s="2"/>
      <c r="E24" s="2"/>
    </row>
    <row r="25" spans="2:5" ht="12.75">
      <c r="B25" s="2"/>
      <c r="C25" s="2"/>
      <c r="D25" s="2"/>
      <c r="E25" s="2"/>
    </row>
    <row r="26" spans="2:5" ht="12.75">
      <c r="B26" s="2"/>
      <c r="C26" s="2"/>
      <c r="D26" s="2"/>
      <c r="E26" s="2"/>
    </row>
    <row r="27" spans="2:5" ht="12.75">
      <c r="B27" s="2"/>
      <c r="C27" s="2"/>
      <c r="D27" s="2"/>
      <c r="E27" s="2"/>
    </row>
  </sheetData>
  <printOptions gridLines="1"/>
  <pageMargins left="0.55" right="0.44" top="0.87"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B10" sqref="B10"/>
    </sheetView>
  </sheetViews>
  <sheetFormatPr defaultColWidth="9.140625" defaultRowHeight="12.75"/>
  <cols>
    <col min="1" max="1" width="4.140625" style="1" customWidth="1"/>
    <col min="2" max="3" width="24.7109375" style="0" customWidth="1"/>
    <col min="4" max="4" width="57.28125" style="0" customWidth="1"/>
    <col min="5" max="5" width="18.7109375" style="0" customWidth="1"/>
  </cols>
  <sheetData>
    <row r="1" spans="1:5" s="65" customFormat="1" ht="12.75">
      <c r="A1" s="64" t="s">
        <v>114</v>
      </c>
      <c r="B1" s="64" t="s">
        <v>112</v>
      </c>
      <c r="C1" s="64" t="s">
        <v>116</v>
      </c>
      <c r="D1" s="64" t="s">
        <v>124</v>
      </c>
      <c r="E1" s="64" t="s">
        <v>525</v>
      </c>
    </row>
    <row r="2" spans="1:5" ht="38.25">
      <c r="A2" s="113">
        <v>1</v>
      </c>
      <c r="B2" s="111" t="s">
        <v>134</v>
      </c>
      <c r="C2" s="111" t="s">
        <v>135</v>
      </c>
      <c r="D2" s="111"/>
      <c r="E2" s="114">
        <v>10</v>
      </c>
    </row>
    <row r="3" spans="1:5" ht="38.25">
      <c r="A3" s="113">
        <f>A2+1</f>
        <v>2</v>
      </c>
      <c r="B3" s="111" t="s">
        <v>129</v>
      </c>
      <c r="C3" s="111" t="s">
        <v>131</v>
      </c>
      <c r="D3" s="111" t="s">
        <v>132</v>
      </c>
      <c r="E3" s="114">
        <v>0.25</v>
      </c>
    </row>
    <row r="4" spans="1:5" ht="25.5">
      <c r="A4" s="113">
        <f aca="true" t="shared" si="0" ref="A4:A20">A3+1</f>
        <v>3</v>
      </c>
      <c r="B4" s="111" t="s">
        <v>130</v>
      </c>
      <c r="C4" s="111"/>
      <c r="D4" s="111" t="s">
        <v>133</v>
      </c>
      <c r="E4" s="114"/>
    </row>
    <row r="5" spans="1:5" ht="25.5">
      <c r="A5" s="113">
        <f t="shared" si="0"/>
        <v>4</v>
      </c>
      <c r="B5" s="111" t="s">
        <v>139</v>
      </c>
      <c r="C5" s="111" t="s">
        <v>107</v>
      </c>
      <c r="D5" s="111" t="s">
        <v>140</v>
      </c>
      <c r="E5" s="114">
        <v>0.1</v>
      </c>
    </row>
    <row r="6" spans="1:5" ht="25.5">
      <c r="A6" s="113">
        <f t="shared" si="0"/>
        <v>5</v>
      </c>
      <c r="B6" s="111" t="s">
        <v>108</v>
      </c>
      <c r="C6" s="111" t="s">
        <v>110</v>
      </c>
      <c r="D6" s="111" t="s">
        <v>109</v>
      </c>
      <c r="E6" s="114">
        <v>0.15</v>
      </c>
    </row>
    <row r="7" spans="1:5" ht="38.25">
      <c r="A7" s="1">
        <f t="shared" si="0"/>
        <v>6</v>
      </c>
      <c r="B7" s="2" t="s">
        <v>327</v>
      </c>
      <c r="C7" s="2"/>
      <c r="D7" s="2"/>
      <c r="E7" s="66"/>
    </row>
    <row r="8" spans="1:5" ht="38.25">
      <c r="A8" s="1">
        <f t="shared" si="0"/>
        <v>7</v>
      </c>
      <c r="B8" s="2" t="s">
        <v>328</v>
      </c>
      <c r="C8" s="2"/>
      <c r="D8" s="2"/>
      <c r="E8" s="66"/>
    </row>
    <row r="9" spans="1:5" ht="25.5">
      <c r="A9" s="1">
        <f t="shared" si="0"/>
        <v>8</v>
      </c>
      <c r="B9" s="2" t="s">
        <v>334</v>
      </c>
      <c r="C9" s="2" t="s">
        <v>403</v>
      </c>
      <c r="D9" s="2" t="s">
        <v>335</v>
      </c>
      <c r="E9" s="66"/>
    </row>
    <row r="10" spans="1:5" ht="12.75">
      <c r="A10" s="1">
        <f t="shared" si="0"/>
        <v>9</v>
      </c>
      <c r="B10" s="2" t="s">
        <v>111</v>
      </c>
      <c r="C10" s="2"/>
      <c r="D10" s="2" t="s">
        <v>7</v>
      </c>
      <c r="E10" s="66"/>
    </row>
    <row r="11" spans="1:5" ht="12.75">
      <c r="A11" s="1">
        <f t="shared" si="0"/>
        <v>10</v>
      </c>
      <c r="B11" s="2"/>
      <c r="C11" s="2"/>
      <c r="D11" s="2"/>
      <c r="E11" s="2"/>
    </row>
    <row r="12" spans="1:5" ht="12.75">
      <c r="A12" s="1">
        <f t="shared" si="0"/>
        <v>11</v>
      </c>
      <c r="B12" s="2"/>
      <c r="C12" s="2"/>
      <c r="D12" s="109" t="s">
        <v>566</v>
      </c>
      <c r="E12" s="2">
        <f>0.25+0.1+0.15</f>
        <v>0.5</v>
      </c>
    </row>
    <row r="13" spans="1:5" ht="12.75">
      <c r="A13" s="1">
        <f t="shared" si="0"/>
        <v>12</v>
      </c>
      <c r="B13" s="2"/>
      <c r="C13" s="2"/>
      <c r="D13" s="2"/>
      <c r="E13" s="2"/>
    </row>
    <row r="14" spans="1:5" ht="12.75">
      <c r="A14" s="1">
        <f t="shared" si="0"/>
        <v>13</v>
      </c>
      <c r="B14" s="2"/>
      <c r="C14" s="2"/>
      <c r="D14" s="2"/>
      <c r="E14" s="2"/>
    </row>
    <row r="15" spans="1:5" ht="12.75">
      <c r="A15" s="1">
        <f t="shared" si="0"/>
        <v>14</v>
      </c>
      <c r="B15" s="2"/>
      <c r="C15" s="2"/>
      <c r="D15" s="2"/>
      <c r="E15" s="2"/>
    </row>
    <row r="16" spans="1:5" ht="12.75">
      <c r="A16" s="1">
        <f t="shared" si="0"/>
        <v>15</v>
      </c>
      <c r="B16" s="2"/>
      <c r="C16" s="2"/>
      <c r="D16" s="2"/>
      <c r="E16" s="2"/>
    </row>
    <row r="17" spans="1:5" ht="12.75">
      <c r="A17" s="1">
        <f t="shared" si="0"/>
        <v>16</v>
      </c>
      <c r="B17" s="2"/>
      <c r="C17" s="2"/>
      <c r="D17" s="2"/>
      <c r="E17" s="2"/>
    </row>
    <row r="18" spans="1:5" ht="12.75">
      <c r="A18" s="1">
        <f t="shared" si="0"/>
        <v>17</v>
      </c>
      <c r="B18" s="2"/>
      <c r="C18" s="2"/>
      <c r="D18" s="2"/>
      <c r="E18" s="2"/>
    </row>
    <row r="19" spans="1:5" ht="12.75">
      <c r="A19" s="1">
        <f t="shared" si="0"/>
        <v>18</v>
      </c>
      <c r="B19" s="2"/>
      <c r="C19" s="2"/>
      <c r="D19" s="2"/>
      <c r="E19" s="2"/>
    </row>
    <row r="20" spans="1:5" ht="12.75">
      <c r="A20" s="1">
        <f t="shared" si="0"/>
        <v>19</v>
      </c>
      <c r="B20" s="2"/>
      <c r="C20" s="2"/>
      <c r="D20" s="2"/>
      <c r="E20" s="2"/>
    </row>
    <row r="21" spans="2:5" ht="12.75">
      <c r="B21" s="2"/>
      <c r="C21" s="2"/>
      <c r="D21" s="2"/>
      <c r="E21" s="2"/>
    </row>
    <row r="22" spans="2:5" ht="12.75">
      <c r="B22" s="2"/>
      <c r="C22" s="2"/>
      <c r="D22" s="2"/>
      <c r="E22" s="2"/>
    </row>
    <row r="23" spans="2:5" ht="12.75">
      <c r="B23" s="2"/>
      <c r="C23" s="2"/>
      <c r="D23" s="2"/>
      <c r="E23" s="2"/>
    </row>
    <row r="24" spans="2:5" ht="12.75">
      <c r="B24" s="2"/>
      <c r="C24" s="2"/>
      <c r="D24" s="2"/>
      <c r="E24" s="2"/>
    </row>
    <row r="25" spans="2:5" ht="12.75">
      <c r="B25" s="2"/>
      <c r="C25" s="2"/>
      <c r="D25" s="2"/>
      <c r="E25" s="2"/>
    </row>
    <row r="26" spans="2:5" ht="12.75">
      <c r="B26" s="2"/>
      <c r="C26" s="2"/>
      <c r="D26" s="2"/>
      <c r="E26" s="2"/>
    </row>
    <row r="27" spans="2:5" ht="12.75">
      <c r="B27" s="2"/>
      <c r="C27" s="2"/>
      <c r="D27" s="2"/>
      <c r="E27" s="2"/>
    </row>
    <row r="28" spans="2:5" ht="12.75">
      <c r="B28" s="2"/>
      <c r="C28" s="2"/>
      <c r="D28" s="2"/>
      <c r="E28" s="2"/>
    </row>
  </sheetData>
  <printOptions gridLines="1"/>
  <pageMargins left="0.43" right="0.48"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18"/>
  <sheetViews>
    <sheetView workbookViewId="0" topLeftCell="A1">
      <selection activeCell="E17" sqref="E17"/>
    </sheetView>
  </sheetViews>
  <sheetFormatPr defaultColWidth="9.140625" defaultRowHeight="12.75"/>
  <cols>
    <col min="1" max="1" width="23.8515625" style="0" customWidth="1"/>
    <col min="2" max="3" width="9.7109375" style="0" customWidth="1"/>
    <col min="4" max="4" width="7.8515625" style="0" customWidth="1"/>
    <col min="5" max="13" width="7.7109375" style="0" customWidth="1"/>
  </cols>
  <sheetData>
    <row r="1" spans="5:13" ht="12.75">
      <c r="E1" s="141" t="s">
        <v>560</v>
      </c>
      <c r="F1" s="141"/>
      <c r="G1" s="141" t="s">
        <v>561</v>
      </c>
      <c r="H1" s="141"/>
      <c r="I1" s="141"/>
      <c r="J1" s="141"/>
      <c r="K1" s="141"/>
      <c r="L1" s="141"/>
      <c r="M1" s="141"/>
    </row>
    <row r="2" spans="1:14" s="64" customFormat="1" ht="12.75">
      <c r="A2" s="64" t="s">
        <v>552</v>
      </c>
      <c r="B2" s="64" t="s">
        <v>546</v>
      </c>
      <c r="C2" s="64" t="s">
        <v>547</v>
      </c>
      <c r="D2" s="64" t="s">
        <v>548</v>
      </c>
      <c r="E2" s="64" t="s">
        <v>534</v>
      </c>
      <c r="F2" s="64" t="s">
        <v>535</v>
      </c>
      <c r="G2" s="64" t="s">
        <v>536</v>
      </c>
      <c r="H2" s="64" t="s">
        <v>537</v>
      </c>
      <c r="I2" s="64" t="s">
        <v>538</v>
      </c>
      <c r="J2" s="64" t="s">
        <v>539</v>
      </c>
      <c r="K2" s="64" t="s">
        <v>540</v>
      </c>
      <c r="L2" s="64" t="s">
        <v>549</v>
      </c>
      <c r="M2" s="64" t="s">
        <v>550</v>
      </c>
      <c r="N2" s="64" t="s">
        <v>158</v>
      </c>
    </row>
    <row r="3" spans="1:14" ht="12.75">
      <c r="A3" t="s">
        <v>533</v>
      </c>
      <c r="B3" s="105">
        <v>39356</v>
      </c>
      <c r="C3" s="105">
        <v>39568</v>
      </c>
      <c r="D3" s="20">
        <v>19</v>
      </c>
      <c r="E3" s="20">
        <v>738.85</v>
      </c>
      <c r="F3" s="20">
        <v>494.98</v>
      </c>
      <c r="G3" s="20"/>
      <c r="H3" s="20"/>
      <c r="I3" s="20"/>
      <c r="J3" s="20"/>
      <c r="K3" s="20"/>
      <c r="L3" s="20"/>
      <c r="M3" s="20"/>
      <c r="N3" s="20">
        <f>SUM(E3:M3)</f>
        <v>1233.83</v>
      </c>
    </row>
    <row r="4" spans="1:14" ht="12.75">
      <c r="A4" t="s">
        <v>541</v>
      </c>
      <c r="B4" s="105">
        <v>39569</v>
      </c>
      <c r="C4" s="105">
        <v>40298</v>
      </c>
      <c r="D4" s="20">
        <v>24</v>
      </c>
      <c r="E4" s="20"/>
      <c r="F4" s="20">
        <v>214.171</v>
      </c>
      <c r="G4" s="20">
        <v>1800</v>
      </c>
      <c r="H4" s="20">
        <f>('SDR Cost Estimate (FY08)'!W108-F4-G4/E18)*E18^H17</f>
        <v>1634.4115193020564</v>
      </c>
      <c r="I4" s="20"/>
      <c r="J4" s="20"/>
      <c r="K4" s="20"/>
      <c r="L4" s="20"/>
      <c r="M4" s="20"/>
      <c r="N4" s="20">
        <f>SUM(E4:M4)</f>
        <v>3648.5825193020564</v>
      </c>
    </row>
    <row r="5" spans="1:14" ht="12.75">
      <c r="A5" t="s">
        <v>542</v>
      </c>
      <c r="B5" s="105">
        <v>40299</v>
      </c>
      <c r="C5" s="105">
        <v>41029</v>
      </c>
      <c r="D5" s="20">
        <v>24</v>
      </c>
      <c r="E5" s="20"/>
      <c r="F5" s="20"/>
      <c r="G5" s="20"/>
      <c r="H5" s="20">
        <v>1600</v>
      </c>
      <c r="I5" s="20">
        <v>5500</v>
      </c>
      <c r="J5" s="20">
        <f>('SDR Cost Estimate (FY08)'!AH108-H5/E18^H17-I5/E18^I17)*E18^J17</f>
        <v>3036.103039653361</v>
      </c>
      <c r="K5" s="20"/>
      <c r="L5" s="20"/>
      <c r="M5" s="20"/>
      <c r="N5" s="20">
        <f aca="true" t="shared" si="0" ref="N5:N11">SUM(E5:M5)</f>
        <v>10136.10303965336</v>
      </c>
    </row>
    <row r="6" spans="1:14" ht="12.75">
      <c r="A6" t="s">
        <v>543</v>
      </c>
      <c r="B6" s="105">
        <v>41030</v>
      </c>
      <c r="C6" s="105">
        <v>41759</v>
      </c>
      <c r="D6" s="20">
        <v>24</v>
      </c>
      <c r="E6" s="20"/>
      <c r="F6" s="20"/>
      <c r="G6" s="20"/>
      <c r="H6" s="20"/>
      <c r="I6" s="20"/>
      <c r="J6" s="20">
        <f>'SDR Cost Estimate (FY08)'!AS108*0.25*E18^J17</f>
        <v>7467.796154674436</v>
      </c>
      <c r="K6" s="20">
        <f>'SDR Cost Estimate (FY08)'!AS108*0.45*E18^K17</f>
        <v>13912.504236158473</v>
      </c>
      <c r="L6" s="20">
        <f>'SDR Cost Estimate (FY08)'!AS108*0.3*E18^L17</f>
        <v>9599.627922949345</v>
      </c>
      <c r="M6" s="20"/>
      <c r="N6" s="20">
        <f t="shared" si="0"/>
        <v>30979.928313782253</v>
      </c>
    </row>
    <row r="7" spans="1:14" ht="12.75">
      <c r="A7" t="s">
        <v>544</v>
      </c>
      <c r="B7" s="105">
        <v>41760</v>
      </c>
      <c r="C7" s="105">
        <v>42063</v>
      </c>
      <c r="D7" s="20">
        <v>10</v>
      </c>
      <c r="E7" s="20"/>
      <c r="F7" s="20"/>
      <c r="G7" s="20"/>
      <c r="H7" s="20"/>
      <c r="I7" s="20"/>
      <c r="J7" s="20"/>
      <c r="K7" s="20"/>
      <c r="L7" s="20">
        <f>'SDR Cost Estimate (FY08)'!BD108/2*E18^L17</f>
        <v>2222.88143126224</v>
      </c>
      <c r="M7" s="20">
        <f>'SDR Cost Estimate (FY08)'!BD108/2*E18^M17</f>
        <v>2300.682281356418</v>
      </c>
      <c r="N7" s="20">
        <f t="shared" si="0"/>
        <v>4523.5637126186575</v>
      </c>
    </row>
    <row r="8" spans="1:14" ht="12.75">
      <c r="A8" t="s">
        <v>3</v>
      </c>
      <c r="B8" s="105"/>
      <c r="C8" s="105"/>
      <c r="D8" s="20"/>
      <c r="E8" s="20"/>
      <c r="F8" s="20"/>
      <c r="G8" s="20"/>
      <c r="H8" s="20"/>
      <c r="I8" s="20"/>
      <c r="J8" s="20"/>
      <c r="K8" s="20">
        <v>300</v>
      </c>
      <c r="L8" s="20">
        <v>400</v>
      </c>
      <c r="M8" s="20">
        <f>('SDR Cost Estimate (FY08)'!I108*3/22-K8-L8)*E18^M17</f>
        <v>444.6976055731044</v>
      </c>
      <c r="N8" s="20">
        <f t="shared" si="0"/>
        <v>1144.6976055731043</v>
      </c>
    </row>
    <row r="9" spans="1:15" ht="12.75">
      <c r="A9" s="106" t="s">
        <v>556</v>
      </c>
      <c r="B9" s="105"/>
      <c r="C9" s="105"/>
      <c r="D9" s="20">
        <f>SUM(D3:D7)</f>
        <v>101</v>
      </c>
      <c r="E9" s="20">
        <f>SUM(E3:E8)</f>
        <v>738.85</v>
      </c>
      <c r="F9" s="20">
        <f aca="true" t="shared" si="1" ref="F9:M9">SUM(F3:F8)</f>
        <v>709.1510000000001</v>
      </c>
      <c r="G9" s="20">
        <f t="shared" si="1"/>
        <v>1800</v>
      </c>
      <c r="H9" s="20">
        <f t="shared" si="1"/>
        <v>3234.411519302056</v>
      </c>
      <c r="I9" s="20">
        <f t="shared" si="1"/>
        <v>5500</v>
      </c>
      <c r="J9" s="20">
        <f t="shared" si="1"/>
        <v>10503.899194327798</v>
      </c>
      <c r="K9" s="20">
        <f t="shared" si="1"/>
        <v>14212.504236158473</v>
      </c>
      <c r="L9" s="20">
        <f t="shared" si="1"/>
        <v>12222.509354211585</v>
      </c>
      <c r="M9" s="20">
        <f t="shared" si="1"/>
        <v>2745.3798869295224</v>
      </c>
      <c r="N9" s="108">
        <f>SUM(N3:N8)</f>
        <v>51666.70519092943</v>
      </c>
      <c r="O9" s="20"/>
    </row>
    <row r="10" spans="1:14" ht="12.75">
      <c r="A10" s="107" t="s">
        <v>553</v>
      </c>
      <c r="B10" s="105"/>
      <c r="C10" s="105"/>
      <c r="D10" s="20"/>
      <c r="E10" s="20"/>
      <c r="F10" s="20"/>
      <c r="G10" s="20">
        <v>200</v>
      </c>
      <c r="H10" s="20">
        <f>'NIR Imager ROM'!D25/1000*E18</f>
        <v>482.3164467955799</v>
      </c>
      <c r="I10" s="20">
        <f>'NIR Imager ROM'!F25/1000*E18-G10*E18^2</f>
        <v>907.0773086834253</v>
      </c>
      <c r="J10" s="20">
        <f>'NIR Imager ROM'!H25/1000*E18</f>
        <v>1044.4402298739162</v>
      </c>
      <c r="K10" s="20">
        <f>'NIR Imager ROM'!J25/1000*E18</f>
        <v>977.9292997746597</v>
      </c>
      <c r="L10" s="20">
        <f>'NIR Imager ROM'!L25/1000*E18</f>
        <v>156.89266270785623</v>
      </c>
      <c r="M10" s="20"/>
      <c r="N10" s="20">
        <f t="shared" si="0"/>
        <v>3768.6559478354375</v>
      </c>
    </row>
    <row r="11" spans="1:14" ht="12.75">
      <c r="A11" s="107" t="s">
        <v>554</v>
      </c>
      <c r="B11" s="105"/>
      <c r="C11" s="105"/>
      <c r="D11" s="20"/>
      <c r="E11" s="20"/>
      <c r="F11" s="20"/>
      <c r="G11" s="20">
        <v>50</v>
      </c>
      <c r="H11" s="20">
        <f>(189.7-G11)+100</f>
        <v>239.7</v>
      </c>
      <c r="I11" s="20">
        <f>(206.22-100)+500</f>
        <v>606.22</v>
      </c>
      <c r="J11" s="20">
        <v>1300</v>
      </c>
      <c r="K11" s="20">
        <v>1400</v>
      </c>
      <c r="L11" s="20">
        <f>5000-SUM(G11:K11)</f>
        <v>1404.08</v>
      </c>
      <c r="M11" s="20"/>
      <c r="N11" s="20">
        <f t="shared" si="0"/>
        <v>5000</v>
      </c>
    </row>
    <row r="12" spans="1:14" ht="12.75">
      <c r="A12" s="107" t="s">
        <v>555</v>
      </c>
      <c r="B12" s="105"/>
      <c r="C12" s="105"/>
      <c r="D12" s="20"/>
      <c r="E12" s="20"/>
      <c r="F12" s="20"/>
      <c r="G12" s="20"/>
      <c r="H12" s="20"/>
      <c r="I12" s="20">
        <f>'Vis Imager ROM'!D25/1000*E18^2</f>
        <v>499.19752243342515</v>
      </c>
      <c r="J12" s="20">
        <f>'Vis Imager ROM'!F25/1000*E18^2</f>
        <v>1160.568589487345</v>
      </c>
      <c r="K12" s="20">
        <f>'Vis Imager ROM'!H25/1000*E18^2</f>
        <v>948.1637379195033</v>
      </c>
      <c r="L12" s="20">
        <f>'Vis Imager ROM'!J25/1000*E18^2</f>
        <v>879.3249252667729</v>
      </c>
      <c r="M12" s="20">
        <f>'Vis Imager ROM'!L25/1000*E18^2</f>
        <v>162.3839059026312</v>
      </c>
      <c r="N12" s="20">
        <f>SUM(E12:M12)</f>
        <v>3649.6386810096774</v>
      </c>
    </row>
    <row r="13" spans="1:14" ht="12.75">
      <c r="A13" s="107" t="s">
        <v>559</v>
      </c>
      <c r="E13" s="20"/>
      <c r="F13" s="20"/>
      <c r="G13" s="20"/>
      <c r="H13" s="20">
        <v>50</v>
      </c>
      <c r="I13" s="20">
        <v>300</v>
      </c>
      <c r="J13" s="20">
        <v>600</v>
      </c>
      <c r="K13" s="20">
        <v>1000</v>
      </c>
      <c r="L13" s="20">
        <f>SUM(N10:N12)*0.2-SUM(H13:K13)</f>
        <v>533.658925769023</v>
      </c>
      <c r="M13" s="20"/>
      <c r="N13" s="20">
        <f>SUM(E13:M13)</f>
        <v>2483.658925769023</v>
      </c>
    </row>
    <row r="14" spans="1:14" ht="12.75">
      <c r="A14" s="106" t="s">
        <v>557</v>
      </c>
      <c r="B14" s="105"/>
      <c r="C14" s="105"/>
      <c r="D14" s="20"/>
      <c r="E14" s="20"/>
      <c r="F14" s="20"/>
      <c r="G14" s="20">
        <f aca="true" t="shared" si="2" ref="G14:N14">SUM(G10:G13)</f>
        <v>250</v>
      </c>
      <c r="H14" s="20">
        <f t="shared" si="2"/>
        <v>772.0164467955799</v>
      </c>
      <c r="I14" s="20">
        <f t="shared" si="2"/>
        <v>2312.4948311168505</v>
      </c>
      <c r="J14" s="20">
        <f t="shared" si="2"/>
        <v>4105.008819361261</v>
      </c>
      <c r="K14" s="20">
        <f t="shared" si="2"/>
        <v>4326.093037694163</v>
      </c>
      <c r="L14" s="20">
        <f t="shared" si="2"/>
        <v>2973.956513743652</v>
      </c>
      <c r="M14" s="20">
        <f t="shared" si="2"/>
        <v>162.3839059026312</v>
      </c>
      <c r="N14" s="108">
        <f t="shared" si="2"/>
        <v>14901.953554614138</v>
      </c>
    </row>
    <row r="15" spans="1:14" ht="12.75">
      <c r="A15" s="106" t="s">
        <v>558</v>
      </c>
      <c r="B15" s="105"/>
      <c r="C15" s="105"/>
      <c r="D15" s="20"/>
      <c r="E15" s="20">
        <f>E9+E14</f>
        <v>738.85</v>
      </c>
      <c r="F15" s="20">
        <f aca="true" t="shared" si="3" ref="F15:M15">F9+F14</f>
        <v>709.1510000000001</v>
      </c>
      <c r="G15" s="20">
        <f t="shared" si="3"/>
        <v>2050</v>
      </c>
      <c r="H15" s="20">
        <f t="shared" si="3"/>
        <v>4006.4279660976363</v>
      </c>
      <c r="I15" s="20">
        <f t="shared" si="3"/>
        <v>7812.49483111685</v>
      </c>
      <c r="J15" s="20">
        <f t="shared" si="3"/>
        <v>14608.908013689059</v>
      </c>
      <c r="K15" s="20">
        <f t="shared" si="3"/>
        <v>18538.597273852636</v>
      </c>
      <c r="L15" s="20">
        <f t="shared" si="3"/>
        <v>15196.465867955238</v>
      </c>
      <c r="M15" s="20">
        <f t="shared" si="3"/>
        <v>2907.7637928321537</v>
      </c>
      <c r="N15" s="108">
        <f>N9+N14</f>
        <v>66568.65874554357</v>
      </c>
    </row>
    <row r="16" spans="1:14" ht="12.75">
      <c r="A16" s="106"/>
      <c r="B16" s="105"/>
      <c r="C16" s="105"/>
      <c r="D16" s="20"/>
      <c r="E16" s="20"/>
      <c r="F16" s="20"/>
      <c r="G16" s="20"/>
      <c r="H16" s="20"/>
      <c r="I16" s="20"/>
      <c r="J16" s="20"/>
      <c r="K16" s="20"/>
      <c r="L16" s="20"/>
      <c r="M16" s="20"/>
      <c r="N16" s="108"/>
    </row>
    <row r="17" spans="1:13" ht="12.75">
      <c r="A17" t="s">
        <v>551</v>
      </c>
      <c r="G17">
        <v>1</v>
      </c>
      <c r="H17">
        <v>2</v>
      </c>
      <c r="I17">
        <v>3</v>
      </c>
      <c r="J17">
        <v>4</v>
      </c>
      <c r="K17">
        <v>5</v>
      </c>
      <c r="L17">
        <v>6</v>
      </c>
      <c r="M17">
        <v>7</v>
      </c>
    </row>
    <row r="18" spans="1:5" ht="12.75">
      <c r="A18" t="s">
        <v>545</v>
      </c>
      <c r="E18">
        <v>1.035</v>
      </c>
    </row>
  </sheetData>
  <mergeCells count="2">
    <mergeCell ref="G1:M1"/>
    <mergeCell ref="E1:F1"/>
  </mergeCells>
  <printOptions gridLines="1"/>
  <pageMargins left="0.61" right="0.38" top="0.69" bottom="0.36" header="0.5" footer="0.26"/>
  <pageSetup horizontalDpi="600" verticalDpi="600" orientation="landscape" r:id="rId4"/>
  <headerFooter alignWithMargins="0">
    <oddFooter>&amp;L&amp;F&amp;R&amp;A</oddFooter>
  </headerFooter>
  <drawing r:id="rId3"/>
  <legacyDrawing r:id="rId2"/>
</worksheet>
</file>

<file path=xl/worksheets/sheet3.xml><?xml version="1.0" encoding="utf-8"?>
<worksheet xmlns="http://schemas.openxmlformats.org/spreadsheetml/2006/main" xmlns:r="http://schemas.openxmlformats.org/officeDocument/2006/relationships">
  <dimension ref="A1:E58"/>
  <sheetViews>
    <sheetView workbookViewId="0" topLeftCell="A20">
      <selection activeCell="D26" sqref="D26"/>
    </sheetView>
  </sheetViews>
  <sheetFormatPr defaultColWidth="9.140625" defaultRowHeight="12.75"/>
  <cols>
    <col min="1" max="1" width="4.140625" style="1" customWidth="1"/>
    <col min="2" max="2" width="19.57421875" style="0" customWidth="1"/>
    <col min="3" max="3" width="46.8515625" style="0" customWidth="1"/>
    <col min="4" max="4" width="28.7109375" style="0" customWidth="1"/>
    <col min="5" max="5" width="5.28125" style="0" customWidth="1"/>
  </cols>
  <sheetData>
    <row r="1" spans="4:5" ht="12.75">
      <c r="D1" s="141" t="s">
        <v>113</v>
      </c>
      <c r="E1" s="143"/>
    </row>
    <row r="2" spans="1:5" ht="12.75">
      <c r="A2" s="64" t="s">
        <v>114</v>
      </c>
      <c r="B2" s="64" t="s">
        <v>112</v>
      </c>
      <c r="C2" s="64" t="s">
        <v>524</v>
      </c>
      <c r="D2" s="64" t="s">
        <v>570</v>
      </c>
      <c r="E2" s="64" t="s">
        <v>569</v>
      </c>
    </row>
    <row r="3" spans="1:5" ht="89.25">
      <c r="A3" s="116">
        <v>1</v>
      </c>
      <c r="B3" s="117" t="s">
        <v>862</v>
      </c>
      <c r="C3" s="117" t="s">
        <v>573</v>
      </c>
      <c r="D3" s="117" t="s">
        <v>876</v>
      </c>
      <c r="E3" s="118"/>
    </row>
    <row r="4" spans="1:5" ht="63.75">
      <c r="A4" s="1">
        <f>A3+1</f>
        <v>2</v>
      </c>
      <c r="B4" s="2" t="s">
        <v>575</v>
      </c>
      <c r="C4" s="2" t="s">
        <v>1</v>
      </c>
      <c r="D4" s="2" t="s">
        <v>494</v>
      </c>
      <c r="E4" s="110">
        <f>(0.075+0.02)*1.25*'Cost Est (then-yr)'!E18^4</f>
        <v>0.13626835632421871</v>
      </c>
    </row>
    <row r="5" spans="1:5" ht="229.5">
      <c r="A5" s="1">
        <f>A4+1</f>
        <v>3</v>
      </c>
      <c r="B5" s="2" t="s">
        <v>870</v>
      </c>
      <c r="C5" s="2" t="s">
        <v>71</v>
      </c>
      <c r="D5" s="2" t="s">
        <v>67</v>
      </c>
      <c r="E5" s="110">
        <f>(7.3*0.15+0.08+0.025+0.075/2+0.1/2)*'Cost Est (then-yr)'!E18^4</f>
        <v>1.4774358633046871</v>
      </c>
    </row>
    <row r="6" spans="1:5" ht="127.5">
      <c r="A6" s="1">
        <f aca="true" t="shared" si="0" ref="A6:A19">A5+1</f>
        <v>4</v>
      </c>
      <c r="B6" s="2" t="s">
        <v>567</v>
      </c>
      <c r="C6" s="2" t="s">
        <v>568</v>
      </c>
      <c r="D6" s="2" t="s">
        <v>499</v>
      </c>
      <c r="E6" s="110">
        <f>(0.04*2+0.17*2)*1.25*'Cost Est (then-yr)'!E18^4</f>
        <v>0.6024495753281248</v>
      </c>
    </row>
    <row r="7" spans="1:5" ht="165.75">
      <c r="A7" s="1">
        <f t="shared" si="0"/>
        <v>5</v>
      </c>
      <c r="B7" s="2" t="s">
        <v>498</v>
      </c>
      <c r="C7" s="2" t="s">
        <v>504</v>
      </c>
      <c r="D7" s="2" t="s">
        <v>500</v>
      </c>
      <c r="E7" s="110">
        <f>4*(0.02+0.033)*1.25*'Cost Est (then-yr)'!E18^4</f>
        <v>0.30409359516562495</v>
      </c>
    </row>
    <row r="8" spans="1:5" ht="140.25">
      <c r="A8" s="1">
        <f t="shared" si="0"/>
        <v>6</v>
      </c>
      <c r="B8" s="2" t="s">
        <v>731</v>
      </c>
      <c r="C8" s="2" t="s">
        <v>66</v>
      </c>
      <c r="D8" s="2" t="s">
        <v>502</v>
      </c>
      <c r="E8" s="110">
        <f>(0.04*7*0.5*1.25+0.117*0.1+0.05*1.25+0.05*1.25)*'Cost Est (then-yr)'!E18^4</f>
        <v>0.35768291929481244</v>
      </c>
    </row>
    <row r="9" spans="1:5" ht="140.25">
      <c r="A9" s="1">
        <f t="shared" si="0"/>
        <v>7</v>
      </c>
      <c r="B9" s="2" t="s">
        <v>571</v>
      </c>
      <c r="C9" s="2" t="s">
        <v>572</v>
      </c>
      <c r="D9" s="2" t="s">
        <v>503</v>
      </c>
      <c r="E9" s="110">
        <f>(0.15+0.15+0.05)*'Cost Est (then-yr)'!E18^4</f>
        <v>0.40163305021874984</v>
      </c>
    </row>
    <row r="10" spans="1:5" ht="242.25">
      <c r="A10" s="1">
        <f t="shared" si="0"/>
        <v>8</v>
      </c>
      <c r="B10" s="122" t="s">
        <v>69</v>
      </c>
      <c r="C10" s="121" t="s">
        <v>70</v>
      </c>
      <c r="D10" s="2" t="s">
        <v>916</v>
      </c>
      <c r="E10" s="110">
        <f>(0.527*0.35+(0.1-0.045))*'Cost Est (then-yr)'!E18^3</f>
        <v>0.26548249516874994</v>
      </c>
    </row>
    <row r="11" spans="1:5" ht="63.75">
      <c r="A11" s="1">
        <f t="shared" si="0"/>
        <v>9</v>
      </c>
      <c r="B11" s="2" t="s">
        <v>867</v>
      </c>
      <c r="C11" s="2" t="s">
        <v>868</v>
      </c>
      <c r="D11" s="2" t="s">
        <v>869</v>
      </c>
      <c r="E11" s="110">
        <f>(0.09-0.02)*1.25*'Cost Est (then-yr)'!E18^4</f>
        <v>0.10040826255468746</v>
      </c>
    </row>
    <row r="12" spans="1:5" ht="102">
      <c r="A12" s="1">
        <f t="shared" si="0"/>
        <v>10</v>
      </c>
      <c r="B12" s="111" t="s">
        <v>863</v>
      </c>
      <c r="C12" s="111" t="s">
        <v>875</v>
      </c>
      <c r="D12" s="2" t="s">
        <v>587</v>
      </c>
      <c r="E12" s="110">
        <f>(0.15+0.06*1.25)*'Cost Est (then-yr)'!E18^4</f>
        <v>0.2581926751406249</v>
      </c>
    </row>
    <row r="13" spans="1:5" ht="63.75">
      <c r="A13" s="1">
        <f t="shared" si="0"/>
        <v>11</v>
      </c>
      <c r="B13" s="2" t="s">
        <v>574</v>
      </c>
      <c r="C13" s="2" t="s">
        <v>732</v>
      </c>
      <c r="D13" s="2" t="s">
        <v>736</v>
      </c>
      <c r="E13" s="110">
        <f>(3.727-0.4)*1.2</f>
        <v>3.9924</v>
      </c>
    </row>
    <row r="14" spans="1:5" ht="102">
      <c r="A14" s="1">
        <f t="shared" si="0"/>
        <v>12</v>
      </c>
      <c r="B14" s="2" t="s">
        <v>872</v>
      </c>
      <c r="C14" s="2" t="s">
        <v>908</v>
      </c>
      <c r="D14" s="2" t="s">
        <v>873</v>
      </c>
      <c r="E14">
        <f>0.025*'Cost Est (then-yr)'!E18^4</f>
        <v>0.028688075015624995</v>
      </c>
    </row>
    <row r="15" spans="1:5" ht="38.25">
      <c r="A15" s="1">
        <f t="shared" si="0"/>
        <v>13</v>
      </c>
      <c r="B15" s="2" t="s">
        <v>584</v>
      </c>
      <c r="C15" s="2" t="s">
        <v>585</v>
      </c>
      <c r="D15" s="2" t="s">
        <v>586</v>
      </c>
      <c r="E15">
        <f>0.05*'Cost Est (then-yr)'!E18^4</f>
        <v>0.05737615003124999</v>
      </c>
    </row>
    <row r="16" spans="1:5" ht="76.5">
      <c r="A16" s="1">
        <f t="shared" si="0"/>
        <v>14</v>
      </c>
      <c r="B16" s="2" t="s">
        <v>588</v>
      </c>
      <c r="C16" s="2" t="s">
        <v>909</v>
      </c>
      <c r="D16" s="2" t="s">
        <v>0</v>
      </c>
      <c r="E16">
        <f>(0.017+0.003+0.03+0.01)*'Cost Est (then-yr)'!E18^4</f>
        <v>0.06885138003749999</v>
      </c>
    </row>
    <row r="17" spans="1:5" ht="89.25">
      <c r="A17" s="1">
        <f t="shared" si="0"/>
        <v>15</v>
      </c>
      <c r="B17" s="2" t="s">
        <v>733</v>
      </c>
      <c r="C17" s="2" t="s">
        <v>734</v>
      </c>
      <c r="D17" s="2" t="s">
        <v>735</v>
      </c>
      <c r="E17" s="110">
        <f>(7.56*0.03)*'Cost Est (then-yr)'!E18^2</f>
        <v>0.24295382999999995</v>
      </c>
    </row>
    <row r="18" spans="1:5" ht="102">
      <c r="A18" s="1">
        <f t="shared" si="0"/>
        <v>16</v>
      </c>
      <c r="B18" s="2" t="s">
        <v>495</v>
      </c>
      <c r="C18" s="2" t="s">
        <v>47</v>
      </c>
      <c r="D18" s="2" t="s">
        <v>45</v>
      </c>
      <c r="E18" s="110">
        <f>(0.074+1500*0.000073)*'Cost Est (then-yr)'!E18^4</f>
        <v>0.21057047061468745</v>
      </c>
    </row>
    <row r="19" spans="1:5" ht="102">
      <c r="A19" s="1">
        <f t="shared" si="0"/>
        <v>17</v>
      </c>
      <c r="B19" s="2" t="s">
        <v>496</v>
      </c>
      <c r="C19" s="2" t="s">
        <v>497</v>
      </c>
      <c r="D19" s="2" t="s">
        <v>910</v>
      </c>
      <c r="E19" s="110">
        <f>(2.241*0.02+0.1+0.005)*'Cost Est (then-yr)'!E18^4</f>
        <v>0.17192189595363747</v>
      </c>
    </row>
    <row r="20" spans="2:5" ht="51">
      <c r="B20" s="2" t="s">
        <v>580</v>
      </c>
      <c r="C20" s="2" t="s">
        <v>581</v>
      </c>
      <c r="D20" s="2" t="s">
        <v>582</v>
      </c>
      <c r="E20">
        <f>-0.000075*7000*'Cost Est (then-yr)'!E18^4</f>
        <v>-0.6024495753281247</v>
      </c>
    </row>
    <row r="21" spans="2:5" ht="12.75">
      <c r="B21" s="2"/>
      <c r="C21" s="2"/>
      <c r="D21" s="109" t="s">
        <v>877</v>
      </c>
      <c r="E21" s="110">
        <f>SUM(E2:E20)</f>
        <v>8.073959018824855</v>
      </c>
    </row>
    <row r="22" spans="2:5" ht="12.75">
      <c r="B22" s="2"/>
      <c r="C22" s="2"/>
      <c r="D22" s="112" t="s">
        <v>2</v>
      </c>
      <c r="E22" s="115">
        <f>60-('Cost Est (then-yr)'!N15/1000-'Proposed Savings'!E21)</f>
        <v>1.5053002732812928</v>
      </c>
    </row>
    <row r="23" spans="2:5" ht="12.75">
      <c r="B23" s="2"/>
      <c r="C23" s="2"/>
      <c r="D23" s="112"/>
      <c r="E23" s="115"/>
    </row>
    <row r="24" spans="1:5" ht="12.75">
      <c r="A24" s="127" t="s">
        <v>42</v>
      </c>
      <c r="B24" s="128"/>
      <c r="C24" s="124" t="s">
        <v>651</v>
      </c>
      <c r="D24" s="112"/>
      <c r="E24" s="115"/>
    </row>
    <row r="25" spans="1:5" ht="25.5">
      <c r="A25" s="125" t="s">
        <v>43</v>
      </c>
      <c r="B25" s="126" t="s">
        <v>649</v>
      </c>
      <c r="C25" s="126" t="s">
        <v>655</v>
      </c>
      <c r="D25" s="112"/>
      <c r="E25" s="115"/>
    </row>
    <row r="26" spans="1:5" ht="12.75">
      <c r="A26" s="125" t="s">
        <v>44</v>
      </c>
      <c r="B26" s="126" t="s">
        <v>646</v>
      </c>
      <c r="C26" s="126" t="s">
        <v>657</v>
      </c>
      <c r="D26" s="112"/>
      <c r="E26" s="115"/>
    </row>
    <row r="27" spans="1:5" ht="12.75">
      <c r="A27" s="125">
        <v>2</v>
      </c>
      <c r="B27" s="126" t="s">
        <v>647</v>
      </c>
      <c r="C27" s="126" t="s">
        <v>652</v>
      </c>
      <c r="D27" s="112"/>
      <c r="E27" s="115"/>
    </row>
    <row r="28" spans="1:5" ht="38.25">
      <c r="A28" s="125">
        <v>3</v>
      </c>
      <c r="B28" s="126" t="s">
        <v>658</v>
      </c>
      <c r="C28" s="126" t="s">
        <v>654</v>
      </c>
      <c r="D28" s="112"/>
      <c r="E28" s="115"/>
    </row>
    <row r="29" spans="1:5" ht="25.5">
      <c r="A29" s="125">
        <v>4</v>
      </c>
      <c r="B29" s="126" t="s">
        <v>648</v>
      </c>
      <c r="C29" s="126" t="s">
        <v>653</v>
      </c>
      <c r="D29" s="112"/>
      <c r="E29" s="115"/>
    </row>
    <row r="30" spans="1:5" ht="12.75">
      <c r="A30" s="125">
        <v>5</v>
      </c>
      <c r="B30" s="126" t="s">
        <v>650</v>
      </c>
      <c r="C30" s="126" t="s">
        <v>656</v>
      </c>
      <c r="D30" s="112"/>
      <c r="E30" s="115"/>
    </row>
    <row r="31" spans="2:5" ht="12.75">
      <c r="B31" s="2"/>
      <c r="C31" s="2"/>
      <c r="D31" s="112"/>
      <c r="E31" s="115"/>
    </row>
    <row r="32" spans="1:5" ht="12.75">
      <c r="A32" s="145" t="s">
        <v>4</v>
      </c>
      <c r="B32" s="145"/>
      <c r="C32" s="145"/>
      <c r="D32" s="145"/>
      <c r="E32" s="145"/>
    </row>
    <row r="33" spans="2:5" ht="12.75">
      <c r="B33" s="142" t="s">
        <v>5</v>
      </c>
      <c r="C33" s="142"/>
      <c r="D33" s="142"/>
      <c r="E33" s="142"/>
    </row>
    <row r="34" spans="2:5" ht="25.5" customHeight="1">
      <c r="B34" s="142" t="s">
        <v>577</v>
      </c>
      <c r="C34" s="142"/>
      <c r="D34" s="142"/>
      <c r="E34" s="142"/>
    </row>
    <row r="35" spans="2:5" ht="12.75">
      <c r="B35" s="142" t="s">
        <v>6</v>
      </c>
      <c r="C35" s="142"/>
      <c r="D35" s="142"/>
      <c r="E35" s="142"/>
    </row>
    <row r="36" spans="2:5" ht="12.75">
      <c r="B36" s="142" t="s">
        <v>493</v>
      </c>
      <c r="C36" s="142"/>
      <c r="D36" s="142"/>
      <c r="E36" s="142"/>
    </row>
    <row r="37" spans="2:5" ht="12.75">
      <c r="B37" s="142" t="s">
        <v>865</v>
      </c>
      <c r="C37" s="142"/>
      <c r="D37" s="142"/>
      <c r="E37" s="142"/>
    </row>
    <row r="38" spans="2:5" ht="12.75">
      <c r="B38" s="147" t="s">
        <v>501</v>
      </c>
      <c r="C38" s="147"/>
      <c r="D38" s="147"/>
      <c r="E38" s="147"/>
    </row>
    <row r="39" spans="2:5" ht="12.75">
      <c r="B39" s="142" t="s">
        <v>864</v>
      </c>
      <c r="C39" s="143"/>
      <c r="D39" s="143"/>
      <c r="E39" s="143"/>
    </row>
    <row r="40" spans="2:5" ht="12.75">
      <c r="B40" s="142" t="s">
        <v>866</v>
      </c>
      <c r="C40" s="143"/>
      <c r="D40" s="143"/>
      <c r="E40" s="143"/>
    </row>
    <row r="41" spans="2:5" ht="12.75">
      <c r="B41" s="142" t="s">
        <v>871</v>
      </c>
      <c r="C41" s="143"/>
      <c r="D41" s="143"/>
      <c r="E41" s="143"/>
    </row>
    <row r="42" spans="2:5" ht="25.5" customHeight="1">
      <c r="B42" s="142" t="s">
        <v>576</v>
      </c>
      <c r="C42" s="143"/>
      <c r="D42" s="143"/>
      <c r="E42" s="143"/>
    </row>
    <row r="43" spans="2:5" ht="25.5" customHeight="1">
      <c r="B43" s="142" t="s">
        <v>579</v>
      </c>
      <c r="C43" s="142"/>
      <c r="D43" s="142"/>
      <c r="E43" s="142"/>
    </row>
    <row r="44" spans="2:5" ht="12.75">
      <c r="B44" s="2"/>
      <c r="C44" s="119"/>
      <c r="D44" s="119"/>
      <c r="E44" s="119"/>
    </row>
    <row r="45" spans="1:5" ht="12.75">
      <c r="A45" s="146" t="s">
        <v>874</v>
      </c>
      <c r="B45" s="146"/>
      <c r="C45" s="146"/>
      <c r="D45" s="146"/>
      <c r="E45" s="146"/>
    </row>
    <row r="46" spans="2:5" ht="25.5" customHeight="1">
      <c r="B46" s="144" t="s">
        <v>660</v>
      </c>
      <c r="C46" s="144"/>
      <c r="D46" s="144"/>
      <c r="E46" s="144"/>
    </row>
    <row r="47" spans="2:5" ht="112.5" customHeight="1">
      <c r="B47" s="148" t="s">
        <v>661</v>
      </c>
      <c r="C47" s="148"/>
      <c r="D47" s="148"/>
      <c r="E47" s="148"/>
    </row>
    <row r="48" spans="2:5" ht="39" customHeight="1">
      <c r="B48" s="149" t="s">
        <v>662</v>
      </c>
      <c r="C48" s="150"/>
      <c r="D48" s="150"/>
      <c r="E48" s="150"/>
    </row>
    <row r="49" spans="2:5" ht="51" customHeight="1">
      <c r="B49" s="151" t="s">
        <v>915</v>
      </c>
      <c r="C49" s="151"/>
      <c r="D49" s="151"/>
      <c r="E49" s="151"/>
    </row>
    <row r="50" spans="2:5" ht="51.75" customHeight="1">
      <c r="B50" s="149" t="s">
        <v>48</v>
      </c>
      <c r="C50" s="151"/>
      <c r="D50" s="151"/>
      <c r="E50" s="151"/>
    </row>
    <row r="51" spans="2:5" ht="12.75">
      <c r="B51" s="151" t="s">
        <v>578</v>
      </c>
      <c r="C51" s="151"/>
      <c r="D51" s="151"/>
      <c r="E51" s="151"/>
    </row>
    <row r="52" spans="2:5" ht="102.75" customHeight="1">
      <c r="B52" s="149" t="s">
        <v>49</v>
      </c>
      <c r="C52" s="151"/>
      <c r="D52" s="151"/>
      <c r="E52" s="151"/>
    </row>
    <row r="53" spans="2:5" ht="25.5" customHeight="1">
      <c r="B53" s="148" t="s">
        <v>911</v>
      </c>
      <c r="C53" s="148"/>
      <c r="D53" s="148"/>
      <c r="E53" s="148"/>
    </row>
    <row r="54" spans="2:5" ht="12.75">
      <c r="B54" s="148" t="s">
        <v>914</v>
      </c>
      <c r="C54" s="148"/>
      <c r="D54" s="148"/>
      <c r="E54" s="148"/>
    </row>
    <row r="55" spans="2:5" ht="12.75">
      <c r="B55" s="151" t="s">
        <v>912</v>
      </c>
      <c r="C55" s="151"/>
      <c r="D55" s="151"/>
      <c r="E55" s="151"/>
    </row>
    <row r="56" spans="2:5" ht="12.75">
      <c r="B56" s="151" t="s">
        <v>913</v>
      </c>
      <c r="C56" s="151"/>
      <c r="D56" s="151"/>
      <c r="E56" s="151"/>
    </row>
    <row r="57" spans="2:5" ht="37.5" customHeight="1">
      <c r="B57" s="149" t="s">
        <v>68</v>
      </c>
      <c r="C57" s="149"/>
      <c r="D57" s="149"/>
      <c r="E57" s="149"/>
    </row>
    <row r="58" spans="2:5" ht="12.75">
      <c r="B58" s="151" t="s">
        <v>917</v>
      </c>
      <c r="C58" s="151"/>
      <c r="D58" s="151"/>
      <c r="E58" s="151"/>
    </row>
  </sheetData>
  <mergeCells count="28">
    <mergeCell ref="B50:E50"/>
    <mergeCell ref="B51:E51"/>
    <mergeCell ref="B52:E52"/>
    <mergeCell ref="B57:E57"/>
    <mergeCell ref="B58:E58"/>
    <mergeCell ref="B54:E54"/>
    <mergeCell ref="B53:E53"/>
    <mergeCell ref="B55:E55"/>
    <mergeCell ref="B56:E56"/>
    <mergeCell ref="B47:E47"/>
    <mergeCell ref="B48:E48"/>
    <mergeCell ref="B49:E49"/>
    <mergeCell ref="A24:B24"/>
    <mergeCell ref="A32:E32"/>
    <mergeCell ref="A45:E45"/>
    <mergeCell ref="B36:E36"/>
    <mergeCell ref="D1:E1"/>
    <mergeCell ref="B33:E33"/>
    <mergeCell ref="B34:E34"/>
    <mergeCell ref="B35:E35"/>
    <mergeCell ref="B39:E39"/>
    <mergeCell ref="B37:E37"/>
    <mergeCell ref="B38:E38"/>
    <mergeCell ref="B40:E40"/>
    <mergeCell ref="B41:E41"/>
    <mergeCell ref="B42:E42"/>
    <mergeCell ref="B46:E46"/>
    <mergeCell ref="B43:E43"/>
  </mergeCells>
  <printOptions gridLines="1"/>
  <pageMargins left="0.26" right="0.17" top="0.8" bottom="0.56" header="0.5" footer="0.25"/>
  <pageSetup horizontalDpi="600" verticalDpi="600" orientation="portrait"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dimension ref="A1:Q26"/>
  <sheetViews>
    <sheetView workbookViewId="0" topLeftCell="A1">
      <selection activeCell="A1" sqref="A1:E9"/>
    </sheetView>
  </sheetViews>
  <sheetFormatPr defaultColWidth="9.140625" defaultRowHeight="12.75"/>
  <cols>
    <col min="1" max="1" width="18.7109375" style="0" customWidth="1"/>
    <col min="2" max="4" width="20.7109375" style="0" customWidth="1"/>
    <col min="5" max="5" width="11.7109375" style="0" customWidth="1"/>
    <col min="8" max="8" width="29.00390625" style="0" customWidth="1"/>
  </cols>
  <sheetData>
    <row r="1" spans="1:14" s="65" customFormat="1" ht="12.75">
      <c r="A1" s="129"/>
      <c r="B1" s="129" t="s">
        <v>53</v>
      </c>
      <c r="C1" s="129" t="s">
        <v>54</v>
      </c>
      <c r="D1" s="129" t="s">
        <v>524</v>
      </c>
      <c r="E1" s="129" t="s">
        <v>62</v>
      </c>
      <c r="H1" s="129" t="s">
        <v>614</v>
      </c>
      <c r="I1" s="129" t="s">
        <v>600</v>
      </c>
      <c r="J1" s="129" t="s">
        <v>615</v>
      </c>
      <c r="K1" s="129" t="s">
        <v>616</v>
      </c>
      <c r="L1" s="129" t="s">
        <v>617</v>
      </c>
      <c r="N1" s="65" t="s">
        <v>622</v>
      </c>
    </row>
    <row r="2" spans="1:17" ht="12.75">
      <c r="A2" s="130" t="s">
        <v>50</v>
      </c>
      <c r="B2" s="125" t="s">
        <v>51</v>
      </c>
      <c r="C2" s="125" t="s">
        <v>52</v>
      </c>
      <c r="D2" s="125" t="s">
        <v>63</v>
      </c>
      <c r="E2" s="125"/>
      <c r="H2" s="123" t="s">
        <v>618</v>
      </c>
      <c r="I2" s="135"/>
      <c r="J2" s="135"/>
      <c r="K2" s="123"/>
      <c r="L2" s="123"/>
      <c r="N2" t="s">
        <v>623</v>
      </c>
      <c r="O2" t="s">
        <v>624</v>
      </c>
      <c r="P2" t="s">
        <v>625</v>
      </c>
      <c r="Q2" t="s">
        <v>626</v>
      </c>
    </row>
    <row r="3" spans="1:17" ht="12.75">
      <c r="A3" s="130" t="s">
        <v>55</v>
      </c>
      <c r="B3" s="125" t="s">
        <v>56</v>
      </c>
      <c r="C3" s="125" t="s">
        <v>57</v>
      </c>
      <c r="D3" s="125" t="s">
        <v>64</v>
      </c>
      <c r="E3" s="134">
        <f>'Proposed Savings'!E6+'Proposed Savings'!E7</f>
        <v>0.9065431704937498</v>
      </c>
      <c r="H3" s="123" t="s">
        <v>441</v>
      </c>
      <c r="I3" s="135"/>
      <c r="J3" s="135"/>
      <c r="K3" s="135"/>
      <c r="L3" s="135"/>
      <c r="N3">
        <v>0.7</v>
      </c>
      <c r="P3">
        <v>0.7</v>
      </c>
      <c r="Q3">
        <v>0.88</v>
      </c>
    </row>
    <row r="4" spans="1:17" ht="12.75">
      <c r="A4" s="130" t="s">
        <v>58</v>
      </c>
      <c r="B4" s="125" t="s">
        <v>59</v>
      </c>
      <c r="C4" s="125" t="s">
        <v>60</v>
      </c>
      <c r="D4" s="125" t="s">
        <v>65</v>
      </c>
      <c r="E4" s="134">
        <f>'Proposed Savings'!E8</f>
        <v>0.35768291929481244</v>
      </c>
      <c r="H4" s="123" t="s">
        <v>619</v>
      </c>
      <c r="I4" s="135"/>
      <c r="J4" s="135"/>
      <c r="K4" s="123"/>
      <c r="L4" s="123"/>
      <c r="N4">
        <v>0.8</v>
      </c>
      <c r="O4">
        <v>0.76</v>
      </c>
      <c r="P4">
        <v>0.7</v>
      </c>
      <c r="Q4">
        <v>0.93</v>
      </c>
    </row>
    <row r="5" spans="1:17" ht="12.75">
      <c r="A5" s="130" t="s">
        <v>61</v>
      </c>
      <c r="B5" s="125" t="s">
        <v>596</v>
      </c>
      <c r="C5" s="125" t="s">
        <v>597</v>
      </c>
      <c r="D5" s="125" t="s">
        <v>64</v>
      </c>
      <c r="E5" s="134">
        <f>'Proposed Savings'!E5</f>
        <v>1.4774358633046871</v>
      </c>
      <c r="H5" s="123" t="s">
        <v>620</v>
      </c>
      <c r="I5" s="136"/>
      <c r="J5" s="135"/>
      <c r="K5" s="123"/>
      <c r="L5" s="123"/>
      <c r="N5">
        <v>0.9</v>
      </c>
      <c r="P5">
        <v>0.7</v>
      </c>
      <c r="Q5">
        <v>0.95</v>
      </c>
    </row>
    <row r="6" spans="1:17" ht="12.75">
      <c r="A6" s="130" t="s">
        <v>592</v>
      </c>
      <c r="B6" s="125">
        <v>64</v>
      </c>
      <c r="C6" s="131" t="s">
        <v>593</v>
      </c>
      <c r="D6" s="131" t="s">
        <v>594</v>
      </c>
      <c r="E6" s="134"/>
      <c r="H6" s="123" t="s">
        <v>621</v>
      </c>
      <c r="I6" s="123"/>
      <c r="J6" s="135"/>
      <c r="K6" s="135"/>
      <c r="L6" s="123"/>
      <c r="N6">
        <v>1</v>
      </c>
      <c r="O6">
        <v>0.75</v>
      </c>
      <c r="P6">
        <v>0.7</v>
      </c>
      <c r="Q6">
        <v>0.5</v>
      </c>
    </row>
    <row r="7" spans="1:16" ht="12.75">
      <c r="A7" s="130" t="s">
        <v>590</v>
      </c>
      <c r="B7" s="152" t="s">
        <v>46</v>
      </c>
      <c r="C7" s="153"/>
      <c r="D7" s="154"/>
      <c r="E7" s="134">
        <f>0.8*'Proposed Savings'!E18</f>
        <v>0.16845637649174997</v>
      </c>
      <c r="N7">
        <v>1</v>
      </c>
      <c r="O7">
        <v>0.75</v>
      </c>
      <c r="P7">
        <v>0.8</v>
      </c>
    </row>
    <row r="8" spans="1:16" ht="12.75">
      <c r="A8" s="130" t="s">
        <v>591</v>
      </c>
      <c r="B8" s="152" t="s">
        <v>595</v>
      </c>
      <c r="C8" s="153"/>
      <c r="D8" s="154"/>
      <c r="E8" s="134">
        <f>'Proposed Savings'!E19</f>
        <v>0.17192189595363747</v>
      </c>
      <c r="N8">
        <v>1.25</v>
      </c>
      <c r="O8">
        <v>0.78</v>
      </c>
      <c r="P8">
        <v>0.8</v>
      </c>
    </row>
    <row r="9" spans="1:16" ht="25.5" customHeight="1">
      <c r="A9" s="132" t="s">
        <v>610</v>
      </c>
      <c r="B9" s="155" t="s">
        <v>589</v>
      </c>
      <c r="C9" s="156"/>
      <c r="D9" s="157"/>
      <c r="E9" s="133">
        <f>SUM(E2:E8)</f>
        <v>3.0820402255386368</v>
      </c>
      <c r="N9">
        <v>2</v>
      </c>
      <c r="O9">
        <v>0.77</v>
      </c>
      <c r="P9">
        <v>0.8</v>
      </c>
    </row>
    <row r="11" spans="1:5" ht="12.75">
      <c r="A11" s="129"/>
      <c r="B11" s="129" t="s">
        <v>53</v>
      </c>
      <c r="C11" s="129" t="s">
        <v>54</v>
      </c>
      <c r="D11" s="129" t="s">
        <v>524</v>
      </c>
      <c r="E11" s="129" t="s">
        <v>62</v>
      </c>
    </row>
    <row r="12" spans="1:5" ht="12.75">
      <c r="A12" s="130" t="s">
        <v>600</v>
      </c>
      <c r="B12" s="125" t="s">
        <v>601</v>
      </c>
      <c r="C12" s="125" t="s">
        <v>602</v>
      </c>
      <c r="D12" s="125" t="s">
        <v>608</v>
      </c>
      <c r="E12" s="125" t="s">
        <v>607</v>
      </c>
    </row>
    <row r="13" spans="1:5" ht="12.75">
      <c r="A13" s="130" t="s">
        <v>553</v>
      </c>
      <c r="B13" s="125" t="s">
        <v>599</v>
      </c>
      <c r="C13" s="125" t="s">
        <v>603</v>
      </c>
      <c r="D13" s="125" t="s">
        <v>609</v>
      </c>
      <c r="E13" s="134">
        <f>-0.4*1.2</f>
        <v>-0.48</v>
      </c>
    </row>
    <row r="14" spans="1:5" ht="12.75">
      <c r="A14" s="130" t="s">
        <v>555</v>
      </c>
      <c r="B14" s="125" t="s">
        <v>599</v>
      </c>
      <c r="C14" s="125" t="s">
        <v>598</v>
      </c>
      <c r="D14" s="125" t="s">
        <v>613</v>
      </c>
      <c r="E14" s="134">
        <f>'Proposed Savings'!E13-E13+'Proposed Savings'!E18*0.05</f>
        <v>4.482928523530735</v>
      </c>
    </row>
    <row r="15" spans="1:5" ht="12.75">
      <c r="A15" s="130" t="s">
        <v>604</v>
      </c>
      <c r="B15" s="125" t="s">
        <v>598</v>
      </c>
      <c r="C15" s="125" t="s">
        <v>598</v>
      </c>
      <c r="D15" s="125"/>
      <c r="E15" s="134"/>
    </row>
    <row r="16" spans="1:5" ht="12.75">
      <c r="A16" s="130" t="s">
        <v>605</v>
      </c>
      <c r="B16" s="125" t="s">
        <v>599</v>
      </c>
      <c r="C16" s="125" t="s">
        <v>598</v>
      </c>
      <c r="D16" s="125" t="s">
        <v>612</v>
      </c>
      <c r="E16" s="134">
        <f>'Proposed Savings'!E12+'Proposed Savings'!E18*0.05</f>
        <v>0.26872119867135924</v>
      </c>
    </row>
    <row r="17" spans="1:5" ht="12.75">
      <c r="A17" s="130" t="s">
        <v>606</v>
      </c>
      <c r="B17" s="125" t="s">
        <v>599</v>
      </c>
      <c r="C17" s="125" t="s">
        <v>599</v>
      </c>
      <c r="D17" s="125"/>
      <c r="E17" s="134"/>
    </row>
    <row r="18" spans="1:5" ht="12.75">
      <c r="A18" s="129" t="s">
        <v>610</v>
      </c>
      <c r="B18" s="152" t="s">
        <v>611</v>
      </c>
      <c r="C18" s="153"/>
      <c r="D18" s="154"/>
      <c r="E18" s="133">
        <f>SUM(E13:E17)</f>
        <v>4.271649722202094</v>
      </c>
    </row>
    <row r="20" spans="1:5" ht="12.75">
      <c r="A20" s="129"/>
      <c r="B20" s="129" t="s">
        <v>53</v>
      </c>
      <c r="C20" s="129" t="s">
        <v>54</v>
      </c>
      <c r="D20" s="129" t="s">
        <v>524</v>
      </c>
      <c r="E20" s="129" t="s">
        <v>62</v>
      </c>
    </row>
    <row r="21" spans="1:5" ht="12.75">
      <c r="A21" s="130" t="s">
        <v>627</v>
      </c>
      <c r="B21" s="125" t="s">
        <v>628</v>
      </c>
      <c r="C21" s="125" t="s">
        <v>629</v>
      </c>
      <c r="D21" s="125" t="s">
        <v>630</v>
      </c>
      <c r="E21" s="134">
        <f>'Proposed Savings'!E9</f>
        <v>0.40163305021874984</v>
      </c>
    </row>
    <row r="22" spans="1:5" ht="25.5" customHeight="1">
      <c r="A22" s="130" t="s">
        <v>631</v>
      </c>
      <c r="B22" s="131" t="s">
        <v>632</v>
      </c>
      <c r="C22" s="125" t="s">
        <v>633</v>
      </c>
      <c r="D22" s="131" t="s">
        <v>643</v>
      </c>
      <c r="E22" s="134">
        <f>'Proposed Savings'!E10+'Proposed Savings'!E18*0.05</f>
        <v>0.2760110186994843</v>
      </c>
    </row>
    <row r="23" spans="1:5" ht="12.75">
      <c r="A23" s="130" t="s">
        <v>634</v>
      </c>
      <c r="B23" s="125" t="s">
        <v>635</v>
      </c>
      <c r="C23" s="125" t="s">
        <v>636</v>
      </c>
      <c r="D23" s="125" t="s">
        <v>644</v>
      </c>
      <c r="E23" s="134">
        <f>'Proposed Savings'!E11</f>
        <v>0.10040826255468746</v>
      </c>
    </row>
    <row r="24" spans="1:5" ht="12.75">
      <c r="A24" s="130" t="s">
        <v>637</v>
      </c>
      <c r="B24" s="125" t="s">
        <v>638</v>
      </c>
      <c r="C24" s="125" t="s">
        <v>639</v>
      </c>
      <c r="D24" s="125" t="s">
        <v>645</v>
      </c>
      <c r="E24" s="134"/>
    </row>
    <row r="25" spans="1:5" ht="12.75">
      <c r="A25" s="130" t="s">
        <v>640</v>
      </c>
      <c r="B25" s="125" t="s">
        <v>641</v>
      </c>
      <c r="C25" s="125" t="s">
        <v>642</v>
      </c>
      <c r="D25" s="125" t="s">
        <v>353</v>
      </c>
      <c r="E25" s="134">
        <f>'Proposed Savings'!E15+'Proposed Savings'!E18*0.05</f>
        <v>0.06790467356198436</v>
      </c>
    </row>
    <row r="26" spans="1:5" ht="12.75">
      <c r="A26" s="129" t="s">
        <v>610</v>
      </c>
      <c r="B26" s="152"/>
      <c r="C26" s="153"/>
      <c r="D26" s="154"/>
      <c r="E26" s="133">
        <f>SUM(E21:E25)</f>
        <v>0.845957005034906</v>
      </c>
    </row>
  </sheetData>
  <mergeCells count="5">
    <mergeCell ref="B26:D26"/>
    <mergeCell ref="B9:D9"/>
    <mergeCell ref="B8:D8"/>
    <mergeCell ref="B7:D7"/>
    <mergeCell ref="B18:D18"/>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N18"/>
  <sheetViews>
    <sheetView tabSelected="1" workbookViewId="0" topLeftCell="A1">
      <selection activeCell="A19" sqref="A19"/>
    </sheetView>
  </sheetViews>
  <sheetFormatPr defaultColWidth="9.140625" defaultRowHeight="12.75"/>
  <cols>
    <col min="1" max="1" width="23.8515625" style="0" customWidth="1"/>
    <col min="2" max="3" width="9.7109375" style="0" customWidth="1"/>
    <col min="4" max="4" width="7.8515625" style="0" customWidth="1"/>
    <col min="5" max="13" width="7.7109375" style="0" customWidth="1"/>
  </cols>
  <sheetData>
    <row r="1" spans="5:13" ht="12.75">
      <c r="E1" s="141" t="s">
        <v>560</v>
      </c>
      <c r="F1" s="141"/>
      <c r="G1" s="141" t="s">
        <v>561</v>
      </c>
      <c r="H1" s="141"/>
      <c r="I1" s="141"/>
      <c r="J1" s="141"/>
      <c r="K1" s="141"/>
      <c r="L1" s="141"/>
      <c r="M1" s="141"/>
    </row>
    <row r="2" spans="1:14" ht="12.75">
      <c r="A2" s="64" t="s">
        <v>552</v>
      </c>
      <c r="B2" s="64" t="s">
        <v>546</v>
      </c>
      <c r="C2" s="64" t="s">
        <v>547</v>
      </c>
      <c r="D2" s="64" t="s">
        <v>548</v>
      </c>
      <c r="E2" s="64" t="s">
        <v>534</v>
      </c>
      <c r="F2" s="64" t="s">
        <v>535</v>
      </c>
      <c r="G2" s="64" t="s">
        <v>536</v>
      </c>
      <c r="H2" s="64" t="s">
        <v>537</v>
      </c>
      <c r="I2" s="64" t="s">
        <v>538</v>
      </c>
      <c r="J2" s="64" t="s">
        <v>539</v>
      </c>
      <c r="K2" s="64" t="s">
        <v>540</v>
      </c>
      <c r="L2" s="64" t="s">
        <v>549</v>
      </c>
      <c r="M2" s="64" t="s">
        <v>550</v>
      </c>
      <c r="N2" s="64" t="s">
        <v>158</v>
      </c>
    </row>
    <row r="3" spans="1:14" ht="12.75">
      <c r="A3" t="s">
        <v>533</v>
      </c>
      <c r="B3" s="105">
        <v>39356</v>
      </c>
      <c r="C3" s="105">
        <v>39568</v>
      </c>
      <c r="D3" s="20">
        <v>19</v>
      </c>
      <c r="E3" s="20">
        <f>'Cost Est (then-yr)'!E3</f>
        <v>738.85</v>
      </c>
      <c r="F3" s="20">
        <f>'Cost Est (then-yr)'!F3</f>
        <v>494.98</v>
      </c>
      <c r="G3" s="20"/>
      <c r="H3" s="20"/>
      <c r="I3" s="20"/>
      <c r="J3" s="20"/>
      <c r="K3" s="20"/>
      <c r="L3" s="20"/>
      <c r="M3" s="20"/>
      <c r="N3" s="20">
        <f>SUM(E3:M3)</f>
        <v>1233.83</v>
      </c>
    </row>
    <row r="4" spans="1:14" ht="12.75">
      <c r="A4" t="s">
        <v>541</v>
      </c>
      <c r="B4" s="105">
        <v>39569</v>
      </c>
      <c r="C4" s="105">
        <v>40298</v>
      </c>
      <c r="D4" s="20">
        <v>24</v>
      </c>
      <c r="E4" s="20"/>
      <c r="F4" s="20">
        <f>'Cost Est (then-yr)'!F4</f>
        <v>214.171</v>
      </c>
      <c r="G4" s="20">
        <f>'Cost Est (then-yr)'!G4</f>
        <v>1800</v>
      </c>
      <c r="H4" s="20">
        <f>'Cost Est (then-yr)'!H4</f>
        <v>1634.4115193020564</v>
      </c>
      <c r="I4" s="20"/>
      <c r="J4" s="20"/>
      <c r="K4" s="20"/>
      <c r="L4" s="20"/>
      <c r="M4" s="20"/>
      <c r="N4" s="20">
        <f>SUM(E4:M4)</f>
        <v>3648.5825193020564</v>
      </c>
    </row>
    <row r="5" spans="1:14" ht="12.75">
      <c r="A5" t="s">
        <v>542</v>
      </c>
      <c r="B5" s="105">
        <v>40299</v>
      </c>
      <c r="C5" s="105">
        <v>41029</v>
      </c>
      <c r="D5" s="20">
        <v>24</v>
      </c>
      <c r="E5" s="20"/>
      <c r="F5" s="20"/>
      <c r="G5" s="20"/>
      <c r="H5" s="20">
        <f>'Cost Est (then-yr)'!H5-('Proposed Savings'!E17)*1000</f>
        <v>1357.04617</v>
      </c>
      <c r="I5" s="20">
        <f>'Cost Est (then-yr)'!I5-('Proposed Savings'!E10)*1000</f>
        <v>5234.51750483125</v>
      </c>
      <c r="J5" s="20">
        <f>'Cost Est (then-yr)'!J5</f>
        <v>3036.103039653361</v>
      </c>
      <c r="K5" s="20"/>
      <c r="L5" s="20"/>
      <c r="M5" s="20"/>
      <c r="N5" s="20">
        <f aca="true" t="shared" si="0" ref="N5:N11">SUM(E5:M5)</f>
        <v>9627.66671448461</v>
      </c>
    </row>
    <row r="6" spans="1:14" ht="12.75">
      <c r="A6" t="s">
        <v>543</v>
      </c>
      <c r="B6" s="105">
        <v>41030</v>
      </c>
      <c r="C6" s="105">
        <v>41759</v>
      </c>
      <c r="D6" s="20">
        <v>24</v>
      </c>
      <c r="E6" s="20"/>
      <c r="F6" s="20"/>
      <c r="G6" s="20"/>
      <c r="H6" s="20"/>
      <c r="I6" s="20"/>
      <c r="J6" s="20">
        <f>'Cost Est (then-yr)'!J6-('Proposed Savings'!E4+'Proposed Savings'!E5+'Proposed Savings'!E6+'Proposed Savings'!E8+'Proposed Savings'!E12+'Proposed Savings'!E9+'Proposed Savings'!E11+'Proposed Savings'!E18+'Proposed Savings'!E19+'Proposed Savings'!E7+'Proposed Savings'!E14+'Proposed Savings'!E20+'Proposed Savings'!E15+'Proposed Savings'!E16)*1000+2600/E18</f>
        <v>6406.750755704322</v>
      </c>
      <c r="K6" s="20">
        <f>'Cost Est (then-yr)'!K6-2600</f>
        <v>11312.504236158473</v>
      </c>
      <c r="L6" s="20">
        <f>'Cost Est (then-yr)'!L6</f>
        <v>9599.627922949345</v>
      </c>
      <c r="M6" s="20"/>
      <c r="N6" s="20">
        <f t="shared" si="0"/>
        <v>27318.88291481214</v>
      </c>
    </row>
    <row r="7" spans="1:14" ht="12.75">
      <c r="A7" t="s">
        <v>544</v>
      </c>
      <c r="B7" s="105">
        <v>41760</v>
      </c>
      <c r="C7" s="105">
        <v>42063</v>
      </c>
      <c r="D7" s="20">
        <v>10</v>
      </c>
      <c r="E7" s="20"/>
      <c r="F7" s="20"/>
      <c r="G7" s="20"/>
      <c r="H7" s="20"/>
      <c r="I7" s="20"/>
      <c r="J7" s="20"/>
      <c r="K7" s="20"/>
      <c r="L7" s="20">
        <f>'Cost Est (then-yr)'!L7</f>
        <v>2222.88143126224</v>
      </c>
      <c r="M7" s="20">
        <f>'Cost Est (then-yr)'!M7</f>
        <v>2300.682281356418</v>
      </c>
      <c r="N7" s="20">
        <f t="shared" si="0"/>
        <v>4523.5637126186575</v>
      </c>
    </row>
    <row r="8" spans="1:14" ht="12.75">
      <c r="A8" t="s">
        <v>3</v>
      </c>
      <c r="B8" s="105"/>
      <c r="C8" s="105"/>
      <c r="D8" s="20"/>
      <c r="E8" s="20"/>
      <c r="F8" s="20"/>
      <c r="G8" s="20"/>
      <c r="H8" s="20"/>
      <c r="I8" s="20"/>
      <c r="J8" s="20"/>
      <c r="K8" s="20">
        <f>'Cost Est (then-yr)'!K8</f>
        <v>300</v>
      </c>
      <c r="L8" s="20">
        <f>'Cost Est (then-yr)'!L8</f>
        <v>400</v>
      </c>
      <c r="M8" s="20">
        <f>'Cost Est (then-yr)'!M8</f>
        <v>444.6976055731044</v>
      </c>
      <c r="N8" s="20">
        <f t="shared" si="0"/>
        <v>1144.6976055731043</v>
      </c>
    </row>
    <row r="9" spans="1:14" ht="12.75">
      <c r="A9" s="106" t="s">
        <v>556</v>
      </c>
      <c r="B9" s="105"/>
      <c r="C9" s="105"/>
      <c r="D9" s="20">
        <f>SUM(D3:D7)</f>
        <v>101</v>
      </c>
      <c r="E9" s="20">
        <f>SUM(E3:E8)</f>
        <v>738.85</v>
      </c>
      <c r="F9" s="20">
        <f aca="true" t="shared" si="1" ref="F9:M9">SUM(F3:F8)</f>
        <v>709.1510000000001</v>
      </c>
      <c r="G9" s="20">
        <f t="shared" si="1"/>
        <v>1800</v>
      </c>
      <c r="H9" s="20">
        <f t="shared" si="1"/>
        <v>2991.4576893020567</v>
      </c>
      <c r="I9" s="20">
        <f t="shared" si="1"/>
        <v>5234.51750483125</v>
      </c>
      <c r="J9" s="20">
        <f t="shared" si="1"/>
        <v>9442.853795357683</v>
      </c>
      <c r="K9" s="20">
        <f t="shared" si="1"/>
        <v>11612.504236158473</v>
      </c>
      <c r="L9" s="20">
        <f t="shared" si="1"/>
        <v>12222.509354211585</v>
      </c>
      <c r="M9" s="20">
        <f t="shared" si="1"/>
        <v>2745.3798869295224</v>
      </c>
      <c r="N9" s="108">
        <f>SUM(N3:N8)</f>
        <v>47497.223466790565</v>
      </c>
    </row>
    <row r="10" spans="1:14" ht="12.75">
      <c r="A10" s="107" t="s">
        <v>553</v>
      </c>
      <c r="B10" s="105"/>
      <c r="C10" s="105"/>
      <c r="D10" s="20"/>
      <c r="E10" s="20"/>
      <c r="F10" s="20"/>
      <c r="G10" s="20">
        <f>'Cost Est (then-yr)'!G10</f>
        <v>200</v>
      </c>
      <c r="H10" s="20">
        <f>'Cost Est (then-yr)'!H10</f>
        <v>482.3164467955799</v>
      </c>
      <c r="I10" s="20">
        <f>'Cost Est (then-yr)'!I10</f>
        <v>907.0773086834253</v>
      </c>
      <c r="J10" s="20">
        <f>'Cost Est (then-yr)'!J10</f>
        <v>1044.4402298739162</v>
      </c>
      <c r="K10" s="20">
        <f>'Cost Est (then-yr)'!K10</f>
        <v>977.9292997746597</v>
      </c>
      <c r="L10" s="20">
        <f>'Cost Est (then-yr)'!L10</f>
        <v>156.89266270785623</v>
      </c>
      <c r="M10" s="20">
        <f>'Cost Est (then-yr)'!M10</f>
        <v>0</v>
      </c>
      <c r="N10" s="20">
        <f t="shared" si="0"/>
        <v>3768.6559478354375</v>
      </c>
    </row>
    <row r="11" spans="1:14" ht="12.75">
      <c r="A11" s="107" t="s">
        <v>554</v>
      </c>
      <c r="B11" s="105"/>
      <c r="C11" s="105"/>
      <c r="D11" s="20"/>
      <c r="E11" s="20"/>
      <c r="F11" s="20"/>
      <c r="G11" s="20">
        <v>50</v>
      </c>
      <c r="H11" s="20">
        <f>(189.7-G11)+100</f>
        <v>239.7</v>
      </c>
      <c r="I11" s="20">
        <f>(206.22-100)+500</f>
        <v>606.22</v>
      </c>
      <c r="J11" s="20">
        <v>1300</v>
      </c>
      <c r="K11" s="20">
        <v>1400</v>
      </c>
      <c r="L11" s="20">
        <f>5000-SUM(G11:K11)</f>
        <v>1404.08</v>
      </c>
      <c r="M11" s="20"/>
      <c r="N11" s="20">
        <f t="shared" si="0"/>
        <v>5000</v>
      </c>
    </row>
    <row r="12" spans="1:14" ht="12.75">
      <c r="A12" s="107" t="s">
        <v>555</v>
      </c>
      <c r="B12" s="105"/>
      <c r="C12" s="105"/>
      <c r="D12" s="20"/>
      <c r="E12" s="20"/>
      <c r="F12" s="20"/>
      <c r="G12" s="20"/>
      <c r="H12" s="20"/>
      <c r="I12" s="20">
        <f>'Vis Imager ROM'!D25/1000*E18^2-'Vis Imager ROM'!D25/1000*E18^2+100</f>
        <v>100</v>
      </c>
      <c r="J12" s="20">
        <f>'Vis Imager ROM'!F25/1000*E18^2-'Vis Imager ROM'!F25/1000*E18^2+200</f>
        <v>200</v>
      </c>
      <c r="K12" s="20">
        <f>'Vis Imager ROM'!H25/1000*E18^2-'Vis Imager ROM'!H25/1000*E18^2+100</f>
        <v>100</v>
      </c>
      <c r="L12" s="20">
        <f>'Vis Imager ROM'!J25/1000*E18^2-'Vis Imager ROM'!J25/1000*E18^2</f>
        <v>0</v>
      </c>
      <c r="M12" s="20">
        <f>'Vis Imager ROM'!L25/1000*E18^2-'Vis Imager ROM'!L25/1000*E18^2</f>
        <v>0</v>
      </c>
      <c r="N12" s="20">
        <f>SUM(E12:M12)</f>
        <v>400</v>
      </c>
    </row>
    <row r="13" spans="1:14" ht="12.75">
      <c r="A13" s="107" t="s">
        <v>559</v>
      </c>
      <c r="E13" s="20"/>
      <c r="F13" s="20"/>
      <c r="G13" s="20"/>
      <c r="H13" s="20">
        <v>50</v>
      </c>
      <c r="I13" s="20">
        <v>300</v>
      </c>
      <c r="J13" s="20">
        <v>600</v>
      </c>
      <c r="K13" s="20">
        <f>1000-300</f>
        <v>700</v>
      </c>
      <c r="L13" s="20">
        <f>SUM(N10:N12)*0.2-SUM(H13:K13)</f>
        <v>183.73118956708754</v>
      </c>
      <c r="M13" s="20"/>
      <c r="N13" s="20">
        <f>SUM(E13:M13)</f>
        <v>1833.7311895670875</v>
      </c>
    </row>
    <row r="14" spans="1:14" ht="12.75">
      <c r="A14" s="106" t="s">
        <v>557</v>
      </c>
      <c r="B14" s="105"/>
      <c r="C14" s="105"/>
      <c r="D14" s="20"/>
      <c r="E14" s="20"/>
      <c r="F14" s="20"/>
      <c r="G14" s="20">
        <f aca="true" t="shared" si="2" ref="G14:N14">SUM(G10:G13)</f>
        <v>250</v>
      </c>
      <c r="H14" s="20">
        <f t="shared" si="2"/>
        <v>772.0164467955799</v>
      </c>
      <c r="I14" s="20">
        <f t="shared" si="2"/>
        <v>1913.2973086834254</v>
      </c>
      <c r="J14" s="20">
        <f t="shared" si="2"/>
        <v>3144.440229873916</v>
      </c>
      <c r="K14" s="20">
        <f t="shared" si="2"/>
        <v>3177.9292997746597</v>
      </c>
      <c r="L14" s="20">
        <f t="shared" si="2"/>
        <v>1744.7038522749438</v>
      </c>
      <c r="M14" s="20">
        <f t="shared" si="2"/>
        <v>0</v>
      </c>
      <c r="N14" s="108">
        <f t="shared" si="2"/>
        <v>11002.387137402526</v>
      </c>
    </row>
    <row r="15" spans="1:14" ht="12.75">
      <c r="A15" s="106" t="s">
        <v>558</v>
      </c>
      <c r="B15" s="105"/>
      <c r="C15" s="105"/>
      <c r="D15" s="20"/>
      <c r="E15" s="20">
        <f>E9+E14</f>
        <v>738.85</v>
      </c>
      <c r="F15" s="20">
        <f aca="true" t="shared" si="3" ref="F15:M15">F9+F14</f>
        <v>709.1510000000001</v>
      </c>
      <c r="G15" s="20">
        <f t="shared" si="3"/>
        <v>2050</v>
      </c>
      <c r="H15" s="20">
        <f t="shared" si="3"/>
        <v>3763.474136097637</v>
      </c>
      <c r="I15" s="20">
        <f t="shared" si="3"/>
        <v>7147.814813514676</v>
      </c>
      <c r="J15" s="20">
        <f t="shared" si="3"/>
        <v>12587.2940252316</v>
      </c>
      <c r="K15" s="20">
        <f t="shared" si="3"/>
        <v>14790.433535933133</v>
      </c>
      <c r="L15" s="20">
        <f t="shared" si="3"/>
        <v>13967.213206486529</v>
      </c>
      <c r="M15" s="20">
        <f t="shared" si="3"/>
        <v>2745.3798869295224</v>
      </c>
      <c r="N15" s="108">
        <f>N9+N14</f>
        <v>58499.61060419309</v>
      </c>
    </row>
    <row r="16" spans="1:14" ht="12.75">
      <c r="A16" s="106"/>
      <c r="B16" s="105"/>
      <c r="C16" s="105"/>
      <c r="D16" s="20"/>
      <c r="E16" s="20"/>
      <c r="F16" s="20"/>
      <c r="G16" s="20"/>
      <c r="H16" s="20"/>
      <c r="I16" s="20"/>
      <c r="J16" s="20"/>
      <c r="K16" s="20"/>
      <c r="L16" s="20"/>
      <c r="M16" s="20"/>
      <c r="N16" s="108"/>
    </row>
    <row r="17" spans="1:13" ht="12.75">
      <c r="A17" t="s">
        <v>551</v>
      </c>
      <c r="G17">
        <v>1</v>
      </c>
      <c r="H17">
        <v>2</v>
      </c>
      <c r="I17">
        <v>3</v>
      </c>
      <c r="J17">
        <v>4</v>
      </c>
      <c r="K17">
        <v>5</v>
      </c>
      <c r="L17">
        <v>6</v>
      </c>
      <c r="M17">
        <v>7</v>
      </c>
    </row>
    <row r="18" spans="1:5" ht="12.75">
      <c r="A18" t="s">
        <v>545</v>
      </c>
      <c r="E18">
        <v>1.035</v>
      </c>
    </row>
  </sheetData>
  <mergeCells count="2">
    <mergeCell ref="E1:F1"/>
    <mergeCell ref="G1:M1"/>
  </mergeCells>
  <printOptions gridLines="1"/>
  <pageMargins left="0.51" right="0.17" top="0.55" bottom="0.68" header="0.42" footer="0.38"/>
  <pageSetup horizontalDpi="600" verticalDpi="600" orientation="landscape" r:id="rId4"/>
  <headerFooter alignWithMargins="0">
    <oddFooter>&amp;L&amp;F&amp;R&amp;A</oddFooter>
  </headerFooter>
  <drawing r:id="rId3"/>
  <legacyDrawing r:id="rId2"/>
</worksheet>
</file>

<file path=xl/worksheets/sheet6.xml><?xml version="1.0" encoding="utf-8"?>
<worksheet xmlns="http://schemas.openxmlformats.org/spreadsheetml/2006/main" xmlns:r="http://schemas.openxmlformats.org/officeDocument/2006/relationships">
  <dimension ref="A1:BD108"/>
  <sheetViews>
    <sheetView workbookViewId="0" topLeftCell="AL104">
      <selection activeCell="AS108" sqref="AS108"/>
    </sheetView>
  </sheetViews>
  <sheetFormatPr defaultColWidth="9.140625" defaultRowHeight="12.75"/>
  <cols>
    <col min="1" max="1" width="5.8515625" style="0" customWidth="1"/>
    <col min="2" max="2" width="26.57421875" style="0" customWidth="1"/>
    <col min="3" max="3" width="7.421875" style="0" customWidth="1"/>
    <col min="4" max="4" width="5.7109375" style="0" customWidth="1"/>
    <col min="5" max="5" width="6.140625" style="0" customWidth="1"/>
    <col min="6" max="6" width="6.7109375" style="0" customWidth="1"/>
    <col min="8" max="8" width="7.00390625" style="0" customWidth="1"/>
    <col min="9" max="9" width="7.57421875" style="0" customWidth="1"/>
    <col min="10" max="10" width="7.28125" style="0" customWidth="1"/>
    <col min="11" max="11" width="6.57421875" style="0" customWidth="1"/>
    <col min="12" max="12" width="6.421875" style="0" customWidth="1"/>
    <col min="13" max="13" width="4.7109375" style="0" customWidth="1"/>
    <col min="14" max="14" width="7.421875" style="0" customWidth="1"/>
    <col min="15" max="15" width="6.140625" style="0" customWidth="1"/>
    <col min="16" max="16" width="6.421875" style="0" customWidth="1"/>
    <col min="17" max="17" width="7.140625" style="0" customWidth="1"/>
    <col min="18" max="18" width="8.8515625" style="0" customWidth="1"/>
    <col min="19" max="19" width="7.00390625" style="0" customWidth="1"/>
    <col min="20" max="20" width="7.8515625" style="0" customWidth="1"/>
    <col min="21" max="21" width="7.421875" style="0" customWidth="1"/>
    <col min="22" max="22" width="7.140625" style="0" customWidth="1"/>
    <col min="23" max="23" width="6.421875" style="0" customWidth="1"/>
    <col min="24" max="24" width="4.7109375" style="0" customWidth="1"/>
    <col min="34" max="34" width="6.421875" style="0" customWidth="1"/>
    <col min="35" max="35" width="4.7109375" style="0" customWidth="1"/>
    <col min="45" max="45" width="6.421875" style="0" customWidth="1"/>
    <col min="46" max="46" width="4.7109375" style="0" customWidth="1"/>
  </cols>
  <sheetData>
    <row r="1" spans="2:56" ht="12.75">
      <c r="B1" s="104"/>
      <c r="C1" s="158" t="s">
        <v>529</v>
      </c>
      <c r="D1" s="158"/>
      <c r="E1" s="158"/>
      <c r="F1" s="158"/>
      <c r="G1" s="158"/>
      <c r="H1" s="158"/>
      <c r="I1" s="158"/>
      <c r="J1" s="158"/>
      <c r="K1" s="158"/>
      <c r="L1" s="158"/>
      <c r="N1" s="158" t="s">
        <v>528</v>
      </c>
      <c r="O1" s="158"/>
      <c r="P1" s="158"/>
      <c r="Q1" s="158"/>
      <c r="R1" s="158"/>
      <c r="S1" s="158"/>
      <c r="T1" s="158"/>
      <c r="U1" s="158"/>
      <c r="V1" s="158"/>
      <c r="W1" s="158"/>
      <c r="Y1" s="158" t="s">
        <v>530</v>
      </c>
      <c r="Z1" s="158"/>
      <c r="AA1" s="158"/>
      <c r="AB1" s="158"/>
      <c r="AC1" s="158"/>
      <c r="AD1" s="158"/>
      <c r="AE1" s="158"/>
      <c r="AF1" s="158"/>
      <c r="AG1" s="158"/>
      <c r="AH1" s="158"/>
      <c r="AJ1" s="158" t="s">
        <v>531</v>
      </c>
      <c r="AK1" s="158"/>
      <c r="AL1" s="158"/>
      <c r="AM1" s="158"/>
      <c r="AN1" s="158"/>
      <c r="AO1" s="158"/>
      <c r="AP1" s="158"/>
      <c r="AQ1" s="158"/>
      <c r="AR1" s="158"/>
      <c r="AS1" s="158"/>
      <c r="AU1" s="158" t="s">
        <v>532</v>
      </c>
      <c r="AV1" s="158"/>
      <c r="AW1" s="158"/>
      <c r="AX1" s="158"/>
      <c r="AY1" s="158"/>
      <c r="AZ1" s="158"/>
      <c r="BA1" s="158"/>
      <c r="BB1" s="158"/>
      <c r="BC1" s="158"/>
      <c r="BD1" s="158"/>
    </row>
    <row r="2" spans="1:55" ht="12.75" customHeight="1">
      <c r="A2" s="3"/>
      <c r="B2" s="4"/>
      <c r="C2" s="159" t="s">
        <v>162</v>
      </c>
      <c r="D2" s="159"/>
      <c r="E2" s="159" t="s">
        <v>157</v>
      </c>
      <c r="F2" s="159" t="s">
        <v>163</v>
      </c>
      <c r="G2" s="159"/>
      <c r="H2" s="159"/>
      <c r="I2" s="159"/>
      <c r="J2" s="159"/>
      <c r="K2" s="160" t="s">
        <v>164</v>
      </c>
      <c r="N2" s="159" t="s">
        <v>162</v>
      </c>
      <c r="O2" s="159"/>
      <c r="P2" s="159" t="s">
        <v>157</v>
      </c>
      <c r="Q2" s="159" t="s">
        <v>163</v>
      </c>
      <c r="R2" s="159"/>
      <c r="S2" s="159"/>
      <c r="T2" s="159"/>
      <c r="U2" s="159"/>
      <c r="V2" s="160" t="s">
        <v>526</v>
      </c>
      <c r="Y2" s="159" t="s">
        <v>162</v>
      </c>
      <c r="Z2" s="159"/>
      <c r="AA2" s="159" t="s">
        <v>157</v>
      </c>
      <c r="AB2" s="159" t="s">
        <v>163</v>
      </c>
      <c r="AC2" s="159"/>
      <c r="AD2" s="159"/>
      <c r="AE2" s="159"/>
      <c r="AF2" s="159"/>
      <c r="AG2" s="160" t="s">
        <v>526</v>
      </c>
      <c r="AJ2" s="159" t="s">
        <v>162</v>
      </c>
      <c r="AK2" s="159"/>
      <c r="AL2" s="159" t="s">
        <v>157</v>
      </c>
      <c r="AM2" s="159" t="s">
        <v>163</v>
      </c>
      <c r="AN2" s="159"/>
      <c r="AO2" s="159"/>
      <c r="AP2" s="159"/>
      <c r="AQ2" s="159"/>
      <c r="AR2" s="160" t="s">
        <v>526</v>
      </c>
      <c r="AU2" s="159" t="s">
        <v>162</v>
      </c>
      <c r="AV2" s="159"/>
      <c r="AW2" s="159" t="s">
        <v>157</v>
      </c>
      <c r="AX2" s="159" t="s">
        <v>163</v>
      </c>
      <c r="AY2" s="159"/>
      <c r="AZ2" s="159"/>
      <c r="BA2" s="159"/>
      <c r="BB2" s="159"/>
      <c r="BC2" s="160" t="s">
        <v>526</v>
      </c>
    </row>
    <row r="3" spans="1:55" ht="12.75">
      <c r="A3" s="6"/>
      <c r="B3" s="7"/>
      <c r="C3" s="5" t="s">
        <v>165</v>
      </c>
      <c r="D3" s="5" t="s">
        <v>166</v>
      </c>
      <c r="E3" s="159"/>
      <c r="F3" s="5" t="s">
        <v>162</v>
      </c>
      <c r="G3" s="5" t="s">
        <v>159</v>
      </c>
      <c r="H3" s="5" t="s">
        <v>167</v>
      </c>
      <c r="I3" s="5" t="s">
        <v>160</v>
      </c>
      <c r="J3" s="5" t="s">
        <v>158</v>
      </c>
      <c r="K3" s="160"/>
      <c r="N3" s="5" t="s">
        <v>165</v>
      </c>
      <c r="O3" s="5" t="s">
        <v>166</v>
      </c>
      <c r="P3" s="159"/>
      <c r="Q3" s="5" t="s">
        <v>162</v>
      </c>
      <c r="R3" s="5" t="s">
        <v>159</v>
      </c>
      <c r="S3" s="5" t="s">
        <v>167</v>
      </c>
      <c r="T3" s="5" t="s">
        <v>160</v>
      </c>
      <c r="U3" s="5" t="s">
        <v>158</v>
      </c>
      <c r="V3" s="160"/>
      <c r="Y3" s="5" t="s">
        <v>165</v>
      </c>
      <c r="Z3" s="5" t="s">
        <v>166</v>
      </c>
      <c r="AA3" s="159"/>
      <c r="AB3" s="5" t="s">
        <v>162</v>
      </c>
      <c r="AC3" s="5" t="s">
        <v>159</v>
      </c>
      <c r="AD3" s="5" t="s">
        <v>167</v>
      </c>
      <c r="AE3" s="5" t="s">
        <v>160</v>
      </c>
      <c r="AF3" s="5" t="s">
        <v>158</v>
      </c>
      <c r="AG3" s="160"/>
      <c r="AJ3" s="5" t="s">
        <v>165</v>
      </c>
      <c r="AK3" s="5" t="s">
        <v>166</v>
      </c>
      <c r="AL3" s="159"/>
      <c r="AM3" s="5" t="s">
        <v>162</v>
      </c>
      <c r="AN3" s="5" t="s">
        <v>159</v>
      </c>
      <c r="AO3" s="5" t="s">
        <v>167</v>
      </c>
      <c r="AP3" s="5" t="s">
        <v>160</v>
      </c>
      <c r="AQ3" s="5" t="s">
        <v>158</v>
      </c>
      <c r="AR3" s="160"/>
      <c r="AU3" s="5" t="s">
        <v>165</v>
      </c>
      <c r="AV3" s="5" t="s">
        <v>166</v>
      </c>
      <c r="AW3" s="159"/>
      <c r="AX3" s="5" t="s">
        <v>162</v>
      </c>
      <c r="AY3" s="5" t="s">
        <v>159</v>
      </c>
      <c r="AZ3" s="5" t="s">
        <v>167</v>
      </c>
      <c r="BA3" s="5" t="s">
        <v>160</v>
      </c>
      <c r="BB3" s="5" t="s">
        <v>158</v>
      </c>
      <c r="BC3" s="160"/>
    </row>
    <row r="4" spans="1:56" ht="12.75">
      <c r="A4" s="8">
        <v>2</v>
      </c>
      <c r="B4" s="9" t="s">
        <v>161</v>
      </c>
      <c r="C4" s="10"/>
      <c r="D4" s="10"/>
      <c r="E4" s="10"/>
      <c r="F4" s="10"/>
      <c r="G4" s="10"/>
      <c r="H4" s="10"/>
      <c r="I4" s="10"/>
      <c r="J4" s="10"/>
      <c r="K4" s="11">
        <v>0.11068478200147633</v>
      </c>
      <c r="L4" s="12">
        <v>4673.861396151357</v>
      </c>
      <c r="N4" s="10"/>
      <c r="O4" s="10"/>
      <c r="P4" s="10"/>
      <c r="Q4" s="10"/>
      <c r="R4" s="10"/>
      <c r="S4" s="10"/>
      <c r="T4" s="10"/>
      <c r="U4" s="10"/>
      <c r="V4" s="10"/>
      <c r="W4" s="12">
        <v>925.6431048846325</v>
      </c>
      <c r="Y4" s="10"/>
      <c r="Z4" s="10"/>
      <c r="AA4" s="10"/>
      <c r="AB4" s="10"/>
      <c r="AC4" s="10"/>
      <c r="AD4" s="10"/>
      <c r="AE4" s="10"/>
      <c r="AF4" s="10"/>
      <c r="AG4" s="10"/>
      <c r="AH4" s="12">
        <v>1310.7493982760607</v>
      </c>
      <c r="AJ4" s="10"/>
      <c r="AK4" s="10"/>
      <c r="AL4" s="10"/>
      <c r="AM4" s="10"/>
      <c r="AN4" s="10"/>
      <c r="AO4" s="10"/>
      <c r="AP4" s="10"/>
      <c r="AQ4" s="10"/>
      <c r="AR4" s="10"/>
      <c r="AS4" s="12">
        <v>1738.9442839127128</v>
      </c>
      <c r="AU4" s="10"/>
      <c r="AV4" s="10"/>
      <c r="AW4" s="10"/>
      <c r="AX4" s="10"/>
      <c r="AY4" s="10"/>
      <c r="AZ4" s="10"/>
      <c r="BA4" s="10"/>
      <c r="BB4" s="10"/>
      <c r="BC4" s="10"/>
      <c r="BD4" s="12">
        <v>698.5246090779513</v>
      </c>
    </row>
    <row r="5" spans="1:56" ht="12.75">
      <c r="A5" s="13">
        <v>2.1</v>
      </c>
      <c r="B5" s="13" t="s">
        <v>168</v>
      </c>
      <c r="C5" s="14">
        <v>4390</v>
      </c>
      <c r="D5" s="15">
        <v>2.438888888888889</v>
      </c>
      <c r="E5" s="14">
        <v>5</v>
      </c>
      <c r="F5" s="14">
        <v>420.61103888888897</v>
      </c>
      <c r="G5" s="14">
        <v>0</v>
      </c>
      <c r="H5" s="14">
        <v>18.858675537109374</v>
      </c>
      <c r="I5" s="14">
        <v>21.97348604873037</v>
      </c>
      <c r="J5" s="14">
        <v>461.4432004747287</v>
      </c>
      <c r="K5" s="16"/>
      <c r="L5" s="17"/>
      <c r="N5" s="14">
        <v>1570</v>
      </c>
      <c r="O5" s="15">
        <v>0.8722222222222222</v>
      </c>
      <c r="P5" s="14">
        <v>0</v>
      </c>
      <c r="Q5" s="14">
        <v>157.8079166666667</v>
      </c>
      <c r="R5" s="14">
        <v>0</v>
      </c>
      <c r="S5" s="14">
        <v>0</v>
      </c>
      <c r="T5" s="14">
        <v>7.890395950909395</v>
      </c>
      <c r="U5" s="14">
        <v>165.6983126175761</v>
      </c>
      <c r="V5" s="16">
        <v>0.3590871258848481</v>
      </c>
      <c r="W5" s="17"/>
      <c r="Y5" s="14">
        <v>1900</v>
      </c>
      <c r="Z5" s="15">
        <v>1.0555555555555556</v>
      </c>
      <c r="AA5" s="14">
        <v>1</v>
      </c>
      <c r="AB5" s="14">
        <v>186.21311111111112</v>
      </c>
      <c r="AC5" s="14">
        <v>0</v>
      </c>
      <c r="AD5" s="14">
        <v>3.771735107421875</v>
      </c>
      <c r="AE5" s="14">
        <v>9.49924245247639</v>
      </c>
      <c r="AF5" s="14">
        <v>199.48408867100937</v>
      </c>
      <c r="AG5" s="16">
        <v>0.4323047527101535</v>
      </c>
      <c r="AH5" s="17"/>
      <c r="AJ5" s="14">
        <v>760</v>
      </c>
      <c r="AK5" s="15">
        <v>0.4222222222222222</v>
      </c>
      <c r="AL5" s="14">
        <v>4</v>
      </c>
      <c r="AM5" s="14">
        <v>61.7891</v>
      </c>
      <c r="AN5" s="14">
        <v>0</v>
      </c>
      <c r="AO5" s="14">
        <v>15.0869404296875</v>
      </c>
      <c r="AP5" s="14">
        <v>3.8438020787614886</v>
      </c>
      <c r="AQ5" s="14">
        <v>80.71984250844898</v>
      </c>
      <c r="AR5" s="16">
        <v>0.1749290972873912</v>
      </c>
      <c r="AS5" s="17"/>
      <c r="AU5" s="14">
        <v>160</v>
      </c>
      <c r="AV5" s="15">
        <v>0.08888888888888889</v>
      </c>
      <c r="AW5" s="14">
        <v>0</v>
      </c>
      <c r="AX5" s="14">
        <v>14.800911111111112</v>
      </c>
      <c r="AY5" s="14">
        <v>0</v>
      </c>
      <c r="AZ5" s="14">
        <v>0</v>
      </c>
      <c r="BA5" s="14">
        <v>0.7400455665830937</v>
      </c>
      <c r="BB5" s="14">
        <v>15.540956677694206</v>
      </c>
      <c r="BC5" s="16">
        <v>0.03367902411760712</v>
      </c>
      <c r="BD5" s="17"/>
    </row>
    <row r="6" spans="1:56" ht="12.75">
      <c r="A6" s="18">
        <v>2.2</v>
      </c>
      <c r="B6" s="13" t="s">
        <v>169</v>
      </c>
      <c r="C6" s="14">
        <v>8358</v>
      </c>
      <c r="D6" s="15">
        <v>4.6433333333333335</v>
      </c>
      <c r="E6" s="14">
        <v>85</v>
      </c>
      <c r="F6" s="14">
        <v>766.0623833333334</v>
      </c>
      <c r="G6" s="14">
        <v>0</v>
      </c>
      <c r="H6" s="14">
        <v>231.88890234375</v>
      </c>
      <c r="I6" s="14">
        <v>56.835342953310466</v>
      </c>
      <c r="J6" s="14">
        <v>1054.7866286303938</v>
      </c>
      <c r="K6" s="16"/>
      <c r="L6" s="17"/>
      <c r="N6" s="14">
        <v>2170</v>
      </c>
      <c r="O6" s="15">
        <v>1.2055555555555555</v>
      </c>
      <c r="P6" s="14">
        <v>22</v>
      </c>
      <c r="Q6" s="14">
        <v>198.78067777777778</v>
      </c>
      <c r="R6" s="14">
        <v>0</v>
      </c>
      <c r="S6" s="14">
        <v>66.018796875</v>
      </c>
      <c r="T6" s="14">
        <v>13.23997392992987</v>
      </c>
      <c r="U6" s="14">
        <v>278.0394485827077</v>
      </c>
      <c r="V6" s="16">
        <v>0.26359781308920543</v>
      </c>
      <c r="W6" s="17"/>
      <c r="Y6" s="14">
        <v>3300</v>
      </c>
      <c r="Z6" s="15">
        <v>1.8333333333333333</v>
      </c>
      <c r="AA6" s="14">
        <v>37</v>
      </c>
      <c r="AB6" s="14">
        <v>309.266</v>
      </c>
      <c r="AC6" s="14">
        <v>0</v>
      </c>
      <c r="AD6" s="14">
        <v>108.0582109375</v>
      </c>
      <c r="AE6" s="14">
        <v>20.86621085780577</v>
      </c>
      <c r="AF6" s="14">
        <v>438.1904217953058</v>
      </c>
      <c r="AG6" s="16">
        <v>0.4154303912292497</v>
      </c>
      <c r="AH6" s="17"/>
      <c r="AJ6" s="14">
        <v>2414</v>
      </c>
      <c r="AK6" s="15">
        <v>1.3411111111111111</v>
      </c>
      <c r="AL6" s="14">
        <v>26</v>
      </c>
      <c r="AM6" s="14">
        <v>207.27471888888888</v>
      </c>
      <c r="AN6" s="14">
        <v>0</v>
      </c>
      <c r="AO6" s="14">
        <v>57.81189453125</v>
      </c>
      <c r="AP6" s="14">
        <v>21.20692859959931</v>
      </c>
      <c r="AQ6" s="14">
        <v>286.2935420197382</v>
      </c>
      <c r="AR6" s="16">
        <v>0.27142318100057927</v>
      </c>
      <c r="AS6" s="17"/>
      <c r="AU6" s="14">
        <v>474</v>
      </c>
      <c r="AV6" s="15">
        <v>0.2633333333333333</v>
      </c>
      <c r="AW6" s="14">
        <v>0</v>
      </c>
      <c r="AX6" s="14">
        <v>50.74098666666667</v>
      </c>
      <c r="AY6" s="14">
        <v>0</v>
      </c>
      <c r="AZ6" s="14">
        <v>0</v>
      </c>
      <c r="BA6" s="14">
        <v>1.522229565975517</v>
      </c>
      <c r="BB6" s="14">
        <v>52.263216232642186</v>
      </c>
      <c r="BC6" s="16">
        <v>0.04954861468096564</v>
      </c>
      <c r="BD6" s="17"/>
    </row>
    <row r="7" spans="1:56" ht="12.75">
      <c r="A7" s="13">
        <v>2.3</v>
      </c>
      <c r="B7" s="13" t="s">
        <v>170</v>
      </c>
      <c r="C7" s="14">
        <v>5412.200012207031</v>
      </c>
      <c r="D7" s="15">
        <v>3.006777784559462</v>
      </c>
      <c r="E7" s="14">
        <v>49</v>
      </c>
      <c r="F7" s="14">
        <v>535.4450810787625</v>
      </c>
      <c r="G7" s="14">
        <v>0</v>
      </c>
      <c r="H7" s="14">
        <v>121.97242382812499</v>
      </c>
      <c r="I7" s="14">
        <v>37.922900799425875</v>
      </c>
      <c r="J7" s="14">
        <v>695.3404057063134</v>
      </c>
      <c r="K7" s="16"/>
      <c r="L7" s="17"/>
      <c r="N7" s="14">
        <v>829</v>
      </c>
      <c r="O7" s="15">
        <v>0.46055555555555555</v>
      </c>
      <c r="P7" s="14">
        <v>7</v>
      </c>
      <c r="Q7" s="14">
        <v>94.04954111111111</v>
      </c>
      <c r="R7" s="14">
        <v>0</v>
      </c>
      <c r="S7" s="14">
        <v>13.701072265625</v>
      </c>
      <c r="T7" s="14">
        <v>5.387530749117269</v>
      </c>
      <c r="U7" s="14">
        <v>113.13814412585339</v>
      </c>
      <c r="V7" s="16">
        <v>0.16270900295363944</v>
      </c>
      <c r="W7" s="17"/>
      <c r="Y7" s="14">
        <v>1339.2000122070312</v>
      </c>
      <c r="Z7" s="15">
        <v>0.744000006781684</v>
      </c>
      <c r="AA7" s="14">
        <v>11</v>
      </c>
      <c r="AB7" s="14">
        <v>134.91422107876247</v>
      </c>
      <c r="AC7" s="14">
        <v>0</v>
      </c>
      <c r="AD7" s="14">
        <v>22.2224765625</v>
      </c>
      <c r="AE7" s="14">
        <v>7.856834999139086</v>
      </c>
      <c r="AF7" s="14">
        <v>164.99353264040155</v>
      </c>
      <c r="AG7" s="16">
        <v>0.2372845462256782</v>
      </c>
      <c r="AH7" s="17"/>
      <c r="AJ7" s="14">
        <v>1890</v>
      </c>
      <c r="AK7" s="15">
        <v>1.05</v>
      </c>
      <c r="AL7" s="14">
        <v>18</v>
      </c>
      <c r="AM7" s="14">
        <v>173.78580555555556</v>
      </c>
      <c r="AN7" s="14">
        <v>0</v>
      </c>
      <c r="AO7" s="14">
        <v>50.647390625</v>
      </c>
      <c r="AP7" s="14">
        <v>17.954655293126617</v>
      </c>
      <c r="AQ7" s="14">
        <v>242.3878514736822</v>
      </c>
      <c r="AR7" s="16">
        <v>0.3485887624025951</v>
      </c>
      <c r="AS7" s="17"/>
      <c r="AU7" s="14">
        <v>1354</v>
      </c>
      <c r="AV7" s="15">
        <v>0.7522222222222222</v>
      </c>
      <c r="AW7" s="14">
        <v>13</v>
      </c>
      <c r="AX7" s="14">
        <v>132.69551333333334</v>
      </c>
      <c r="AY7" s="14">
        <v>0</v>
      </c>
      <c r="AZ7" s="14">
        <v>35.401484375</v>
      </c>
      <c r="BA7" s="14">
        <v>6.723879758042905</v>
      </c>
      <c r="BB7" s="14">
        <v>174.82087746637623</v>
      </c>
      <c r="BC7" s="16">
        <v>0.2514176884180872</v>
      </c>
      <c r="BD7" s="17"/>
    </row>
    <row r="8" spans="1:56" ht="12.75">
      <c r="A8" s="13">
        <v>2.4</v>
      </c>
      <c r="B8" s="13" t="s">
        <v>171</v>
      </c>
      <c r="C8" s="14">
        <v>80</v>
      </c>
      <c r="D8" s="15">
        <v>0.044444444444444446</v>
      </c>
      <c r="E8" s="14">
        <v>0</v>
      </c>
      <c r="F8" s="14">
        <v>9.98248888888889</v>
      </c>
      <c r="G8" s="14">
        <v>0</v>
      </c>
      <c r="H8" s="14">
        <v>0</v>
      </c>
      <c r="I8" s="14">
        <v>0.9982489037639565</v>
      </c>
      <c r="J8" s="14">
        <v>10.980737792652846</v>
      </c>
      <c r="K8" s="16"/>
      <c r="L8" s="17"/>
      <c r="N8" s="14">
        <v>40</v>
      </c>
      <c r="O8" s="15">
        <v>0.022222222222222223</v>
      </c>
      <c r="P8" s="14">
        <v>0</v>
      </c>
      <c r="Q8" s="14">
        <v>4.991244444444445</v>
      </c>
      <c r="R8" s="14">
        <v>0</v>
      </c>
      <c r="S8" s="14">
        <v>0</v>
      </c>
      <c r="T8" s="14">
        <v>0.49912445188197824</v>
      </c>
      <c r="U8" s="14">
        <v>5.490368896326423</v>
      </c>
      <c r="V8" s="16">
        <v>0.5</v>
      </c>
      <c r="W8" s="17"/>
      <c r="Y8" s="14">
        <v>40</v>
      </c>
      <c r="Z8" s="15">
        <v>0.022222222222222223</v>
      </c>
      <c r="AA8" s="14">
        <v>0</v>
      </c>
      <c r="AB8" s="14">
        <v>4.991244444444445</v>
      </c>
      <c r="AC8" s="14">
        <v>0</v>
      </c>
      <c r="AD8" s="14">
        <v>0</v>
      </c>
      <c r="AE8" s="14">
        <v>0.49912445188197824</v>
      </c>
      <c r="AF8" s="14">
        <v>5.490368896326423</v>
      </c>
      <c r="AG8" s="16">
        <v>0.5</v>
      </c>
      <c r="AH8" s="17"/>
      <c r="AJ8" s="14">
        <v>0</v>
      </c>
      <c r="AK8" s="15">
        <v>0</v>
      </c>
      <c r="AL8" s="14">
        <v>0</v>
      </c>
      <c r="AM8" s="14">
        <v>0</v>
      </c>
      <c r="AN8" s="14">
        <v>0</v>
      </c>
      <c r="AO8" s="14">
        <v>0</v>
      </c>
      <c r="AP8" s="14">
        <v>0</v>
      </c>
      <c r="AQ8" s="14">
        <v>0</v>
      </c>
      <c r="AR8" s="16">
        <v>0</v>
      </c>
      <c r="AS8" s="17"/>
      <c r="AU8" s="14">
        <v>0</v>
      </c>
      <c r="AV8" s="15">
        <v>0</v>
      </c>
      <c r="AW8" s="14">
        <v>0</v>
      </c>
      <c r="AX8" s="14">
        <v>0</v>
      </c>
      <c r="AY8" s="14">
        <v>0</v>
      </c>
      <c r="AZ8" s="14">
        <v>0</v>
      </c>
      <c r="BA8" s="14">
        <v>0</v>
      </c>
      <c r="BB8" s="14">
        <v>0</v>
      </c>
      <c r="BC8" s="16">
        <v>0</v>
      </c>
      <c r="BD8" s="17"/>
    </row>
    <row r="9" spans="1:56" ht="12.75">
      <c r="A9" s="13">
        <v>2.5</v>
      </c>
      <c r="B9" s="13" t="s">
        <v>172</v>
      </c>
      <c r="C9" s="14">
        <v>460</v>
      </c>
      <c r="D9" s="15">
        <v>0.25555555555555554</v>
      </c>
      <c r="E9" s="14">
        <v>2</v>
      </c>
      <c r="F9" s="14">
        <v>53.240697777777775</v>
      </c>
      <c r="G9" s="14">
        <v>0</v>
      </c>
      <c r="H9" s="14">
        <v>7.54347021484375</v>
      </c>
      <c r="I9" s="14">
        <v>8.20601411740246</v>
      </c>
      <c r="J9" s="14">
        <v>68.990182110024</v>
      </c>
      <c r="K9" s="16"/>
      <c r="L9" s="17"/>
      <c r="N9" s="14">
        <v>180</v>
      </c>
      <c r="O9" s="15">
        <v>0.1</v>
      </c>
      <c r="P9" s="14">
        <v>0</v>
      </c>
      <c r="Q9" s="14">
        <v>20.86113333333333</v>
      </c>
      <c r="R9" s="14">
        <v>0</v>
      </c>
      <c r="S9" s="14">
        <v>0</v>
      </c>
      <c r="T9" s="14">
        <v>2.0861133644188445</v>
      </c>
      <c r="U9" s="14">
        <v>22.947246697752178</v>
      </c>
      <c r="V9" s="16">
        <v>0.3326161200901952</v>
      </c>
      <c r="W9" s="17"/>
      <c r="Y9" s="14">
        <v>180</v>
      </c>
      <c r="Z9" s="15">
        <v>0.1</v>
      </c>
      <c r="AA9" s="14">
        <v>2</v>
      </c>
      <c r="AB9" s="14">
        <v>20.86113333333333</v>
      </c>
      <c r="AC9" s="14">
        <v>0</v>
      </c>
      <c r="AD9" s="14">
        <v>7.54347021484375</v>
      </c>
      <c r="AE9" s="14">
        <v>5.680920794287732</v>
      </c>
      <c r="AF9" s="14">
        <v>34.085524342464815</v>
      </c>
      <c r="AG9" s="16">
        <v>0.4940634058351373</v>
      </c>
      <c r="AH9" s="17"/>
      <c r="AJ9" s="14">
        <v>60</v>
      </c>
      <c r="AK9" s="15">
        <v>0.03333333333333333</v>
      </c>
      <c r="AL9" s="14">
        <v>0</v>
      </c>
      <c r="AM9" s="14">
        <v>6.953711111111112</v>
      </c>
      <c r="AN9" s="14">
        <v>0</v>
      </c>
      <c r="AO9" s="14">
        <v>0</v>
      </c>
      <c r="AP9" s="14">
        <v>0.3476855607364741</v>
      </c>
      <c r="AQ9" s="14">
        <v>7.301396671847586</v>
      </c>
      <c r="AR9" s="16">
        <v>0.1058324017786108</v>
      </c>
      <c r="AS9" s="17"/>
      <c r="AU9" s="14">
        <v>40</v>
      </c>
      <c r="AV9" s="15">
        <v>0.022222222222222223</v>
      </c>
      <c r="AW9" s="14">
        <v>0</v>
      </c>
      <c r="AX9" s="14">
        <v>4.56472</v>
      </c>
      <c r="AY9" s="14">
        <v>0</v>
      </c>
      <c r="AZ9" s="14">
        <v>0</v>
      </c>
      <c r="BA9" s="14">
        <v>0.09129439795941115</v>
      </c>
      <c r="BB9" s="14">
        <v>4.656014397959411</v>
      </c>
      <c r="BC9" s="16">
        <v>0.06748807229605662</v>
      </c>
      <c r="BD9" s="17"/>
    </row>
    <row r="10" spans="1:56" ht="12.75">
      <c r="A10" s="13">
        <v>2.6</v>
      </c>
      <c r="B10" s="13" t="s">
        <v>173</v>
      </c>
      <c r="C10" s="14">
        <v>3544</v>
      </c>
      <c r="D10" s="15">
        <v>1.968888888888889</v>
      </c>
      <c r="E10" s="14">
        <v>104</v>
      </c>
      <c r="F10" s="14">
        <v>376.1531244444444</v>
      </c>
      <c r="G10" s="14">
        <v>0</v>
      </c>
      <c r="H10" s="14">
        <v>382.627685546875</v>
      </c>
      <c r="I10" s="14">
        <v>69.39436533701024</v>
      </c>
      <c r="J10" s="14">
        <v>828.1751753283297</v>
      </c>
      <c r="K10" s="16"/>
      <c r="L10" s="17"/>
      <c r="N10" s="14">
        <v>456</v>
      </c>
      <c r="O10" s="15">
        <v>0.25333333333333335</v>
      </c>
      <c r="P10" s="14">
        <v>13</v>
      </c>
      <c r="Q10" s="14">
        <v>48.23683111111111</v>
      </c>
      <c r="R10" s="14">
        <v>0</v>
      </c>
      <c r="S10" s="14">
        <v>32.725615234375</v>
      </c>
      <c r="T10" s="14">
        <v>4.048122377596028</v>
      </c>
      <c r="U10" s="14">
        <v>85.01056872308214</v>
      </c>
      <c r="V10" s="16">
        <v>0.10264805231499452</v>
      </c>
      <c r="W10" s="17"/>
      <c r="Y10" s="14">
        <v>548</v>
      </c>
      <c r="Z10" s="15">
        <v>0.30444444444444446</v>
      </c>
      <c r="AA10" s="14">
        <v>16</v>
      </c>
      <c r="AB10" s="14">
        <v>57.94227111111111</v>
      </c>
      <c r="AC10" s="14">
        <v>0</v>
      </c>
      <c r="AD10" s="14">
        <v>63.8374296875</v>
      </c>
      <c r="AE10" s="14">
        <v>9.742375846129814</v>
      </c>
      <c r="AF10" s="14">
        <v>131.52207664474093</v>
      </c>
      <c r="AG10" s="16">
        <v>0.15880948929989244</v>
      </c>
      <c r="AH10" s="17"/>
      <c r="AJ10" s="14">
        <v>1524</v>
      </c>
      <c r="AK10" s="15">
        <v>0.8466666666666667</v>
      </c>
      <c r="AL10" s="14">
        <v>43</v>
      </c>
      <c r="AM10" s="14">
        <v>161.98441333333332</v>
      </c>
      <c r="AN10" s="14">
        <v>0</v>
      </c>
      <c r="AO10" s="14">
        <v>158.38978125</v>
      </c>
      <c r="AP10" s="14">
        <v>32.03741993572808</v>
      </c>
      <c r="AQ10" s="14">
        <v>352.41161451906135</v>
      </c>
      <c r="AR10" s="16">
        <v>0.4255278653810746</v>
      </c>
      <c r="AS10" s="17"/>
      <c r="AU10" s="14">
        <v>1016</v>
      </c>
      <c r="AV10" s="15">
        <v>0.5644444444444444</v>
      </c>
      <c r="AW10" s="14">
        <v>32</v>
      </c>
      <c r="AX10" s="14">
        <v>107.9896088888889</v>
      </c>
      <c r="AY10" s="14">
        <v>0</v>
      </c>
      <c r="AZ10" s="14">
        <v>127.674859375</v>
      </c>
      <c r="BA10" s="14">
        <v>23.566447177556313</v>
      </c>
      <c r="BB10" s="14">
        <v>259.2309154414452</v>
      </c>
      <c r="BC10" s="16">
        <v>0.3130145930040383</v>
      </c>
      <c r="BD10" s="17"/>
    </row>
    <row r="11" spans="1:56" ht="12.75">
      <c r="A11" s="13">
        <v>2.7</v>
      </c>
      <c r="B11" s="13" t="s">
        <v>174</v>
      </c>
      <c r="C11" s="14">
        <v>20066</v>
      </c>
      <c r="D11" s="15">
        <v>11.147777777777778</v>
      </c>
      <c r="E11" s="14">
        <v>23</v>
      </c>
      <c r="F11" s="14">
        <v>1010.1489</v>
      </c>
      <c r="G11" s="14">
        <v>354.024</v>
      </c>
      <c r="H11" s="14">
        <v>66.96990673828125</v>
      </c>
      <c r="I11" s="14">
        <v>123.00225937063377</v>
      </c>
      <c r="J11" s="14">
        <v>1554.145066108915</v>
      </c>
      <c r="K11" s="16"/>
      <c r="L11" s="17"/>
      <c r="N11" s="14">
        <v>3361</v>
      </c>
      <c r="O11" s="15">
        <v>1.8672222222222221</v>
      </c>
      <c r="P11" s="14">
        <v>4</v>
      </c>
      <c r="Q11" s="14">
        <v>165.58855555555556</v>
      </c>
      <c r="R11" s="14">
        <v>59.171</v>
      </c>
      <c r="S11" s="14">
        <v>11.6469404296875</v>
      </c>
      <c r="T11" s="14">
        <v>18.912519256091688</v>
      </c>
      <c r="U11" s="14">
        <v>255.31901524133474</v>
      </c>
      <c r="V11" s="16">
        <v>0.16428261480157214</v>
      </c>
      <c r="W11" s="17"/>
      <c r="Y11" s="14">
        <v>3990</v>
      </c>
      <c r="Z11" s="15">
        <v>2.216666666666667</v>
      </c>
      <c r="AA11" s="14">
        <v>5</v>
      </c>
      <c r="AB11" s="14">
        <v>191.67797777777773</v>
      </c>
      <c r="AC11" s="14">
        <v>105.785</v>
      </c>
      <c r="AD11" s="14">
        <v>14.55867578125</v>
      </c>
      <c r="AE11" s="14">
        <v>24.961731726784024</v>
      </c>
      <c r="AF11" s="14">
        <v>336.9833852858117</v>
      </c>
      <c r="AG11" s="16">
        <v>0.2168287842842824</v>
      </c>
      <c r="AH11" s="17"/>
      <c r="AJ11" s="14">
        <v>9250</v>
      </c>
      <c r="AK11" s="15">
        <v>5.138888888888889</v>
      </c>
      <c r="AL11" s="14">
        <v>12</v>
      </c>
      <c r="AM11" s="14">
        <v>483.16266666666667</v>
      </c>
      <c r="AN11" s="14">
        <v>181.742</v>
      </c>
      <c r="AO11" s="14">
        <v>34.9408203125</v>
      </c>
      <c r="AP11" s="14">
        <v>69.98454974076772</v>
      </c>
      <c r="AQ11" s="14">
        <v>769.8300367199345</v>
      </c>
      <c r="AR11" s="16">
        <v>0.4953398839706412</v>
      </c>
      <c r="AS11" s="17"/>
      <c r="AU11" s="14">
        <v>3465</v>
      </c>
      <c r="AV11" s="15">
        <v>1.925</v>
      </c>
      <c r="AW11" s="14">
        <v>2</v>
      </c>
      <c r="AX11" s="14">
        <v>169.71970000000002</v>
      </c>
      <c r="AY11" s="14">
        <v>7.326</v>
      </c>
      <c r="AZ11" s="14">
        <v>5.82347021484375</v>
      </c>
      <c r="BA11" s="14">
        <v>9.143458646990338</v>
      </c>
      <c r="BB11" s="14">
        <v>192.0126288618341</v>
      </c>
      <c r="BC11" s="16">
        <v>0.12354871694350428</v>
      </c>
      <c r="BD11" s="17"/>
    </row>
    <row r="12" spans="1:56" ht="12.75">
      <c r="A12" s="8">
        <v>3</v>
      </c>
      <c r="B12" s="9" t="s">
        <v>175</v>
      </c>
      <c r="C12" s="10"/>
      <c r="D12" s="10"/>
      <c r="E12" s="10"/>
      <c r="F12" s="10"/>
      <c r="G12" s="10"/>
      <c r="H12" s="10"/>
      <c r="I12" s="10"/>
      <c r="J12" s="10"/>
      <c r="K12" s="11">
        <v>0.06834673234317354</v>
      </c>
      <c r="L12" s="12">
        <v>2886.062095217276</v>
      </c>
      <c r="N12" s="10"/>
      <c r="O12" s="10"/>
      <c r="P12" s="10"/>
      <c r="Q12" s="10"/>
      <c r="R12" s="10"/>
      <c r="S12" s="10"/>
      <c r="T12" s="10"/>
      <c r="U12" s="10"/>
      <c r="V12" s="10"/>
      <c r="W12" s="12">
        <v>908.6678041410946</v>
      </c>
      <c r="Y12" s="10"/>
      <c r="Z12" s="10"/>
      <c r="AA12" s="10"/>
      <c r="AB12" s="10"/>
      <c r="AC12" s="10"/>
      <c r="AD12" s="10"/>
      <c r="AE12" s="10"/>
      <c r="AF12" s="10"/>
      <c r="AG12" s="10"/>
      <c r="AH12" s="12">
        <v>1186.0424357644579</v>
      </c>
      <c r="AJ12" s="10"/>
      <c r="AK12" s="10"/>
      <c r="AL12" s="10"/>
      <c r="AM12" s="10"/>
      <c r="AN12" s="10"/>
      <c r="AO12" s="10"/>
      <c r="AP12" s="10"/>
      <c r="AQ12" s="10"/>
      <c r="AR12" s="10"/>
      <c r="AS12" s="12">
        <v>553.8552800929428</v>
      </c>
      <c r="AU12" s="10"/>
      <c r="AV12" s="10"/>
      <c r="AW12" s="10"/>
      <c r="AX12" s="10"/>
      <c r="AY12" s="10"/>
      <c r="AZ12" s="10"/>
      <c r="BA12" s="10"/>
      <c r="BB12" s="10"/>
      <c r="BC12" s="10"/>
      <c r="BD12" s="12">
        <v>237.49657521878157</v>
      </c>
    </row>
    <row r="13" spans="1:55" ht="12.75">
      <c r="A13" s="13">
        <v>3.1</v>
      </c>
      <c r="B13" s="19" t="s">
        <v>176</v>
      </c>
      <c r="C13" s="20"/>
      <c r="D13" s="21"/>
      <c r="E13" s="20"/>
      <c r="F13" s="20"/>
      <c r="G13" s="20"/>
      <c r="H13" s="20"/>
      <c r="I13" s="20"/>
      <c r="J13" s="20"/>
      <c r="K13" s="22"/>
      <c r="N13" s="20"/>
      <c r="O13" s="21"/>
      <c r="P13" s="20"/>
      <c r="Q13" s="20"/>
      <c r="R13" s="20"/>
      <c r="S13" s="20"/>
      <c r="T13" s="20"/>
      <c r="U13" s="20"/>
      <c r="V13" s="22"/>
      <c r="Y13" s="20"/>
      <c r="Z13" s="21"/>
      <c r="AA13" s="20"/>
      <c r="AB13" s="20"/>
      <c r="AC13" s="20"/>
      <c r="AD13" s="20"/>
      <c r="AE13" s="20"/>
      <c r="AF13" s="20"/>
      <c r="AG13" s="22"/>
      <c r="AJ13" s="20"/>
      <c r="AK13" s="21"/>
      <c r="AL13" s="20"/>
      <c r="AM13" s="20"/>
      <c r="AN13" s="20"/>
      <c r="AO13" s="20"/>
      <c r="AP13" s="20"/>
      <c r="AQ13" s="20"/>
      <c r="AR13" s="22"/>
      <c r="AU13" s="20"/>
      <c r="AV13" s="21"/>
      <c r="AW13" s="20"/>
      <c r="AX13" s="20"/>
      <c r="AY13" s="20"/>
      <c r="AZ13" s="20"/>
      <c r="BA13" s="20"/>
      <c r="BB13" s="20"/>
      <c r="BC13" s="22"/>
    </row>
    <row r="14" spans="1:56" ht="12.75">
      <c r="A14" s="23" t="s">
        <v>177</v>
      </c>
      <c r="B14" s="13" t="s">
        <v>178</v>
      </c>
      <c r="C14" s="14">
        <v>3460</v>
      </c>
      <c r="D14" s="15">
        <v>1.9222222222222223</v>
      </c>
      <c r="E14" s="14">
        <v>17</v>
      </c>
      <c r="F14" s="14">
        <v>158.59352222222225</v>
      </c>
      <c r="G14" s="14">
        <v>2.016</v>
      </c>
      <c r="H14" s="14">
        <v>15.62243798828125</v>
      </c>
      <c r="I14" s="14">
        <v>12.336237267256461</v>
      </c>
      <c r="J14" s="14">
        <v>188.56819747775995</v>
      </c>
      <c r="K14" s="16"/>
      <c r="L14" s="17"/>
      <c r="N14" s="14">
        <v>2260</v>
      </c>
      <c r="O14" s="15">
        <v>1.2555555555555555</v>
      </c>
      <c r="P14" s="14">
        <v>5</v>
      </c>
      <c r="Q14" s="14">
        <v>108.4601888888889</v>
      </c>
      <c r="R14" s="14">
        <v>2.016</v>
      </c>
      <c r="S14" s="14">
        <v>4.59483447265625</v>
      </c>
      <c r="T14" s="14">
        <v>8.054971669601997</v>
      </c>
      <c r="U14" s="14">
        <v>123.12599503114714</v>
      </c>
      <c r="V14" s="16">
        <v>0.6529520708054115</v>
      </c>
      <c r="W14" s="17"/>
      <c r="Y14" s="14">
        <v>680</v>
      </c>
      <c r="Z14" s="15">
        <v>0.37777777777777777</v>
      </c>
      <c r="AA14" s="14">
        <v>6</v>
      </c>
      <c r="AB14" s="14">
        <v>28.40888888888889</v>
      </c>
      <c r="AC14" s="14">
        <v>0</v>
      </c>
      <c r="AD14" s="14">
        <v>5.5138017578125</v>
      </c>
      <c r="AE14" s="14">
        <v>2.374588355378847</v>
      </c>
      <c r="AF14" s="14">
        <v>36.29727900208024</v>
      </c>
      <c r="AG14" s="16">
        <v>0.19248886868296655</v>
      </c>
      <c r="AH14" s="17"/>
      <c r="AJ14" s="14">
        <v>520</v>
      </c>
      <c r="AK14" s="15">
        <v>0.28888888888888886</v>
      </c>
      <c r="AL14" s="14">
        <v>6</v>
      </c>
      <c r="AM14" s="14">
        <v>21.724444444444444</v>
      </c>
      <c r="AN14" s="14">
        <v>0</v>
      </c>
      <c r="AO14" s="14">
        <v>5.5138017578125</v>
      </c>
      <c r="AP14" s="14">
        <v>1.9066772422756162</v>
      </c>
      <c r="AQ14" s="14">
        <v>29.144923444532562</v>
      </c>
      <c r="AR14" s="16">
        <v>0.15455906051162185</v>
      </c>
      <c r="AS14" s="17"/>
      <c r="AU14" s="14">
        <v>0</v>
      </c>
      <c r="AV14" s="15">
        <v>0</v>
      </c>
      <c r="AW14" s="14">
        <v>0</v>
      </c>
      <c r="AX14" s="14">
        <v>0</v>
      </c>
      <c r="AY14" s="14">
        <v>0</v>
      </c>
      <c r="AZ14" s="14">
        <v>0</v>
      </c>
      <c r="BA14" s="14">
        <v>0</v>
      </c>
      <c r="BB14" s="14">
        <v>0</v>
      </c>
      <c r="BC14" s="16">
        <v>0</v>
      </c>
      <c r="BD14" s="17"/>
    </row>
    <row r="15" spans="1:56" ht="12.75">
      <c r="A15" s="23" t="s">
        <v>179</v>
      </c>
      <c r="B15" s="13" t="s">
        <v>180</v>
      </c>
      <c r="C15" s="14">
        <v>1800</v>
      </c>
      <c r="D15" s="15">
        <v>1</v>
      </c>
      <c r="E15" s="14">
        <v>0</v>
      </c>
      <c r="F15" s="14">
        <v>100.77598888888889</v>
      </c>
      <c r="G15" s="14">
        <v>0</v>
      </c>
      <c r="H15" s="14">
        <v>0</v>
      </c>
      <c r="I15" s="14">
        <v>19.248710431488686</v>
      </c>
      <c r="J15" s="14">
        <v>120.02469932037758</v>
      </c>
      <c r="K15" s="16"/>
      <c r="L15" s="17"/>
      <c r="N15" s="14">
        <v>420</v>
      </c>
      <c r="O15" s="15">
        <v>0.23333333333333334</v>
      </c>
      <c r="P15" s="14">
        <v>0</v>
      </c>
      <c r="Q15" s="14">
        <v>22.47697777777778</v>
      </c>
      <c r="R15" s="14">
        <v>0</v>
      </c>
      <c r="S15" s="14">
        <v>0</v>
      </c>
      <c r="T15" s="14">
        <v>2.0229280803839367</v>
      </c>
      <c r="U15" s="14">
        <v>24.499905858161718</v>
      </c>
      <c r="V15" s="16">
        <v>0.2041238678112828</v>
      </c>
      <c r="W15" s="17"/>
      <c r="Y15" s="14">
        <v>920</v>
      </c>
      <c r="Z15" s="15">
        <v>0.5111111111111111</v>
      </c>
      <c r="AA15" s="14">
        <v>0</v>
      </c>
      <c r="AB15" s="14">
        <v>50.453188888888896</v>
      </c>
      <c r="AC15" s="14">
        <v>0</v>
      </c>
      <c r="AD15" s="14">
        <v>0</v>
      </c>
      <c r="AE15" s="14">
        <v>11.099701495410669</v>
      </c>
      <c r="AF15" s="14">
        <v>61.552890384299566</v>
      </c>
      <c r="AG15" s="16">
        <v>0.5128351975287908</v>
      </c>
      <c r="AH15" s="17"/>
      <c r="AJ15" s="14">
        <v>300</v>
      </c>
      <c r="AK15" s="15">
        <v>0.16666666666666666</v>
      </c>
      <c r="AL15" s="14">
        <v>0</v>
      </c>
      <c r="AM15" s="14">
        <v>21.161377777777776</v>
      </c>
      <c r="AN15" s="14">
        <v>0</v>
      </c>
      <c r="AO15" s="14">
        <v>0</v>
      </c>
      <c r="AP15" s="14">
        <v>4.655503085884782</v>
      </c>
      <c r="AQ15" s="14">
        <v>25.816880863662558</v>
      </c>
      <c r="AR15" s="16">
        <v>0.21509640107283662</v>
      </c>
      <c r="AS15" s="17"/>
      <c r="AU15" s="14">
        <v>160</v>
      </c>
      <c r="AV15" s="15">
        <v>0.08888888888888889</v>
      </c>
      <c r="AW15" s="14">
        <v>0</v>
      </c>
      <c r="AX15" s="14">
        <v>6.684444444444444</v>
      </c>
      <c r="AY15" s="14">
        <v>0</v>
      </c>
      <c r="AZ15" s="14">
        <v>0</v>
      </c>
      <c r="BA15" s="14">
        <v>1.470577769809299</v>
      </c>
      <c r="BB15" s="14">
        <v>8.155022214253743</v>
      </c>
      <c r="BC15" s="16">
        <v>0.06794453358708975</v>
      </c>
      <c r="BD15" s="17"/>
    </row>
    <row r="16" spans="1:56" ht="12.75">
      <c r="A16" s="23" t="s">
        <v>181</v>
      </c>
      <c r="B16" s="13" t="s">
        <v>182</v>
      </c>
      <c r="C16" s="14">
        <v>670</v>
      </c>
      <c r="D16" s="15">
        <v>0.37222222222222223</v>
      </c>
      <c r="E16" s="14">
        <v>22</v>
      </c>
      <c r="F16" s="14">
        <v>27.99111111111111</v>
      </c>
      <c r="G16" s="14">
        <v>0</v>
      </c>
      <c r="H16" s="14">
        <v>32.33111328125</v>
      </c>
      <c r="I16" s="14">
        <v>10.624045228179309</v>
      </c>
      <c r="J16" s="14">
        <v>70.94626962054042</v>
      </c>
      <c r="K16" s="16"/>
      <c r="L16" s="17"/>
      <c r="N16" s="14">
        <v>130</v>
      </c>
      <c r="O16" s="15">
        <v>0.07222222222222222</v>
      </c>
      <c r="P16" s="14">
        <v>7</v>
      </c>
      <c r="Q16" s="14">
        <v>5.431111111111111</v>
      </c>
      <c r="R16" s="14">
        <v>0</v>
      </c>
      <c r="S16" s="14">
        <v>11.2783046875</v>
      </c>
      <c r="T16" s="14">
        <v>3.0076949632650547</v>
      </c>
      <c r="U16" s="14">
        <v>19.717110761876167</v>
      </c>
      <c r="V16" s="16">
        <v>0.27791610281039575</v>
      </c>
      <c r="W16" s="17"/>
      <c r="Y16" s="14">
        <v>180</v>
      </c>
      <c r="Z16" s="15">
        <v>0.1</v>
      </c>
      <c r="AA16" s="14">
        <v>8</v>
      </c>
      <c r="AB16" s="14">
        <v>7.52</v>
      </c>
      <c r="AC16" s="14">
        <v>0</v>
      </c>
      <c r="AD16" s="14">
        <v>12.197271484375</v>
      </c>
      <c r="AE16" s="14">
        <v>3.5491090082164156</v>
      </c>
      <c r="AF16" s="14">
        <v>23.266380492591413</v>
      </c>
      <c r="AG16" s="16">
        <v>0.32794367648972644</v>
      </c>
      <c r="AH16" s="17"/>
      <c r="AJ16" s="14">
        <v>220</v>
      </c>
      <c r="AK16" s="15">
        <v>0.12222222222222222</v>
      </c>
      <c r="AL16" s="14">
        <v>7</v>
      </c>
      <c r="AM16" s="14">
        <v>9.19111111111111</v>
      </c>
      <c r="AN16" s="14">
        <v>0</v>
      </c>
      <c r="AO16" s="14">
        <v>8.855537109375</v>
      </c>
      <c r="AP16" s="14">
        <v>3.2483968087671866</v>
      </c>
      <c r="AQ16" s="14">
        <v>21.2950450292533</v>
      </c>
      <c r="AR16" s="16">
        <v>0.30015736053707803</v>
      </c>
      <c r="AS16" s="17"/>
      <c r="AU16" s="14">
        <v>140</v>
      </c>
      <c r="AV16" s="15">
        <v>0.07777777777777778</v>
      </c>
      <c r="AW16" s="14">
        <v>0</v>
      </c>
      <c r="AX16" s="14">
        <v>5.848888888888888</v>
      </c>
      <c r="AY16" s="14">
        <v>0</v>
      </c>
      <c r="AZ16" s="14">
        <v>0</v>
      </c>
      <c r="BA16" s="14">
        <v>0.8188444479306538</v>
      </c>
      <c r="BB16" s="14">
        <v>6.667733336819542</v>
      </c>
      <c r="BC16" s="16">
        <v>0.0939828601627998</v>
      </c>
      <c r="BD16" s="17"/>
    </row>
    <row r="17" spans="1:56" ht="12.75">
      <c r="A17" s="23" t="s">
        <v>183</v>
      </c>
      <c r="B17" s="13" t="s">
        <v>184</v>
      </c>
      <c r="C17" s="14">
        <v>312</v>
      </c>
      <c r="D17" s="15">
        <v>0.17333333333333334</v>
      </c>
      <c r="E17" s="14">
        <v>12</v>
      </c>
      <c r="F17" s="14">
        <v>13.034666666666666</v>
      </c>
      <c r="G17" s="14">
        <v>0</v>
      </c>
      <c r="H17" s="14">
        <v>65.59883203125</v>
      </c>
      <c r="I17" s="14">
        <v>4.7180098164192605</v>
      </c>
      <c r="J17" s="14">
        <v>83.35150851433592</v>
      </c>
      <c r="K17" s="16"/>
      <c r="L17" s="17"/>
      <c r="N17" s="14">
        <v>104</v>
      </c>
      <c r="O17" s="15">
        <v>0.057777777777777775</v>
      </c>
      <c r="P17" s="14">
        <v>4</v>
      </c>
      <c r="Q17" s="14">
        <v>4.344888888888889</v>
      </c>
      <c r="R17" s="14">
        <v>0</v>
      </c>
      <c r="S17" s="14">
        <v>21.86627734375</v>
      </c>
      <c r="T17" s="14">
        <v>1.5726699388064203</v>
      </c>
      <c r="U17" s="14">
        <v>27.78383617144531</v>
      </c>
      <c r="V17" s="16">
        <v>0.33333333333333337</v>
      </c>
      <c r="W17" s="17"/>
      <c r="Y17" s="14">
        <v>104</v>
      </c>
      <c r="Z17" s="15">
        <v>0.057777777777777775</v>
      </c>
      <c r="AA17" s="14">
        <v>4</v>
      </c>
      <c r="AB17" s="14">
        <v>4.344888888888889</v>
      </c>
      <c r="AC17" s="14">
        <v>0</v>
      </c>
      <c r="AD17" s="14">
        <v>21.86627734375</v>
      </c>
      <c r="AE17" s="14">
        <v>1.5726699388064203</v>
      </c>
      <c r="AF17" s="14">
        <v>27.78383617144531</v>
      </c>
      <c r="AG17" s="16">
        <v>0.33333333333333337</v>
      </c>
      <c r="AH17" s="17"/>
      <c r="AJ17" s="14">
        <v>104</v>
      </c>
      <c r="AK17" s="15">
        <v>0.057777777777777775</v>
      </c>
      <c r="AL17" s="14">
        <v>4</v>
      </c>
      <c r="AM17" s="14">
        <v>4.344888888888889</v>
      </c>
      <c r="AN17" s="14">
        <v>0</v>
      </c>
      <c r="AO17" s="14">
        <v>21.86627734375</v>
      </c>
      <c r="AP17" s="14">
        <v>1.5726699388064203</v>
      </c>
      <c r="AQ17" s="14">
        <v>27.78383617144531</v>
      </c>
      <c r="AR17" s="16">
        <v>0.33333333333333337</v>
      </c>
      <c r="AS17" s="17"/>
      <c r="AU17" s="14">
        <v>0</v>
      </c>
      <c r="AV17" s="15">
        <v>0</v>
      </c>
      <c r="AW17" s="14">
        <v>0</v>
      </c>
      <c r="AX17" s="14">
        <v>0</v>
      </c>
      <c r="AY17" s="14">
        <v>0</v>
      </c>
      <c r="AZ17" s="14">
        <v>0</v>
      </c>
      <c r="BA17" s="14">
        <v>0</v>
      </c>
      <c r="BB17" s="14">
        <v>0</v>
      </c>
      <c r="BC17" s="16">
        <v>0</v>
      </c>
      <c r="BD17" s="17"/>
    </row>
    <row r="18" spans="1:56" ht="12.75">
      <c r="A18" s="23" t="s">
        <v>185</v>
      </c>
      <c r="B18" s="13" t="s">
        <v>186</v>
      </c>
      <c r="C18" s="14">
        <v>280</v>
      </c>
      <c r="D18" s="15">
        <v>0.15555555555555556</v>
      </c>
      <c r="E18" s="14">
        <v>8</v>
      </c>
      <c r="F18" s="14">
        <v>11.697777777777777</v>
      </c>
      <c r="G18" s="14">
        <v>0</v>
      </c>
      <c r="H18" s="14">
        <v>7.3517353515625</v>
      </c>
      <c r="I18" s="14">
        <v>1.1429707622130287</v>
      </c>
      <c r="J18" s="14">
        <v>20.192483891553305</v>
      </c>
      <c r="K18" s="16"/>
      <c r="L18" s="17"/>
      <c r="N18" s="14">
        <v>70</v>
      </c>
      <c r="O18" s="15">
        <v>0.03888888888888889</v>
      </c>
      <c r="P18" s="14">
        <v>2</v>
      </c>
      <c r="Q18" s="14">
        <v>2.924444444444444</v>
      </c>
      <c r="R18" s="14">
        <v>0</v>
      </c>
      <c r="S18" s="14">
        <v>1.837933837890625</v>
      </c>
      <c r="T18" s="14">
        <v>0.2857426905532572</v>
      </c>
      <c r="U18" s="14">
        <v>5.048120972888326</v>
      </c>
      <c r="V18" s="16">
        <v>0.25</v>
      </c>
      <c r="W18" s="17"/>
      <c r="Y18" s="14">
        <v>70</v>
      </c>
      <c r="Z18" s="15">
        <v>0.03888888888888889</v>
      </c>
      <c r="AA18" s="14">
        <v>2</v>
      </c>
      <c r="AB18" s="14">
        <v>2.924444444444444</v>
      </c>
      <c r="AC18" s="14">
        <v>0</v>
      </c>
      <c r="AD18" s="14">
        <v>1.837933837890625</v>
      </c>
      <c r="AE18" s="14">
        <v>0.2857426905532572</v>
      </c>
      <c r="AF18" s="14">
        <v>5.048120972888326</v>
      </c>
      <c r="AG18" s="16">
        <v>0.25</v>
      </c>
      <c r="AH18" s="17"/>
      <c r="AJ18" s="14">
        <v>70</v>
      </c>
      <c r="AK18" s="15">
        <v>0.03888888888888889</v>
      </c>
      <c r="AL18" s="14">
        <v>2</v>
      </c>
      <c r="AM18" s="14">
        <v>2.924444444444444</v>
      </c>
      <c r="AN18" s="14">
        <v>0</v>
      </c>
      <c r="AO18" s="14">
        <v>1.837933837890625</v>
      </c>
      <c r="AP18" s="14">
        <v>0.2857426905532572</v>
      </c>
      <c r="AQ18" s="14">
        <v>5.048120972888326</v>
      </c>
      <c r="AR18" s="16">
        <v>0.25</v>
      </c>
      <c r="AS18" s="17"/>
      <c r="AU18" s="14">
        <v>70</v>
      </c>
      <c r="AV18" s="15">
        <v>0.03888888888888889</v>
      </c>
      <c r="AW18" s="14">
        <v>2</v>
      </c>
      <c r="AX18" s="14">
        <v>2.924444444444444</v>
      </c>
      <c r="AY18" s="14">
        <v>0</v>
      </c>
      <c r="AZ18" s="14">
        <v>1.837933837890625</v>
      </c>
      <c r="BA18" s="14">
        <v>0.2857426905532572</v>
      </c>
      <c r="BB18" s="14">
        <v>5.048120972888326</v>
      </c>
      <c r="BC18" s="16">
        <v>0.25</v>
      </c>
      <c r="BD18" s="17"/>
    </row>
    <row r="19" spans="1:56" ht="12.75">
      <c r="A19" s="23" t="s">
        <v>187</v>
      </c>
      <c r="B19" s="13" t="s">
        <v>188</v>
      </c>
      <c r="C19" s="14">
        <v>640</v>
      </c>
      <c r="D19" s="15">
        <v>0.35555555555555557</v>
      </c>
      <c r="E19" s="14">
        <v>32</v>
      </c>
      <c r="F19" s="14">
        <v>31.66808888888889</v>
      </c>
      <c r="G19" s="14">
        <v>0</v>
      </c>
      <c r="H19" s="14">
        <v>29.40694140625</v>
      </c>
      <c r="I19" s="14">
        <v>3.664501735800335</v>
      </c>
      <c r="J19" s="14">
        <v>64.73953203093922</v>
      </c>
      <c r="K19" s="16"/>
      <c r="L19" s="17"/>
      <c r="N19" s="14">
        <v>160</v>
      </c>
      <c r="O19" s="15">
        <v>0.08888888888888889</v>
      </c>
      <c r="P19" s="14">
        <v>8</v>
      </c>
      <c r="Q19" s="14">
        <v>7.917022222222222</v>
      </c>
      <c r="R19" s="14">
        <v>0</v>
      </c>
      <c r="S19" s="14">
        <v>7.3517353515625</v>
      </c>
      <c r="T19" s="14">
        <v>0.9161254339500837</v>
      </c>
      <c r="U19" s="14">
        <v>16.184883007734804</v>
      </c>
      <c r="V19" s="16">
        <v>0.25</v>
      </c>
      <c r="W19" s="17"/>
      <c r="Y19" s="14">
        <v>160</v>
      </c>
      <c r="Z19" s="15">
        <v>0.08888888888888889</v>
      </c>
      <c r="AA19" s="14">
        <v>8</v>
      </c>
      <c r="AB19" s="14">
        <v>7.917022222222222</v>
      </c>
      <c r="AC19" s="14">
        <v>0</v>
      </c>
      <c r="AD19" s="14">
        <v>7.3517353515625</v>
      </c>
      <c r="AE19" s="14">
        <v>0.9161254339500837</v>
      </c>
      <c r="AF19" s="14">
        <v>16.184883007734804</v>
      </c>
      <c r="AG19" s="16">
        <v>0.25</v>
      </c>
      <c r="AH19" s="17"/>
      <c r="AJ19" s="14">
        <v>160</v>
      </c>
      <c r="AK19" s="15">
        <v>0.08888888888888889</v>
      </c>
      <c r="AL19" s="14">
        <v>8</v>
      </c>
      <c r="AM19" s="14">
        <v>7.917022222222222</v>
      </c>
      <c r="AN19" s="14">
        <v>0</v>
      </c>
      <c r="AO19" s="14">
        <v>7.3517353515625</v>
      </c>
      <c r="AP19" s="14">
        <v>0.9161254339500837</v>
      </c>
      <c r="AQ19" s="14">
        <v>16.184883007734804</v>
      </c>
      <c r="AR19" s="16">
        <v>0.25</v>
      </c>
      <c r="AS19" s="17"/>
      <c r="AU19" s="14">
        <v>160</v>
      </c>
      <c r="AV19" s="15">
        <v>0.08888888888888889</v>
      </c>
      <c r="AW19" s="14">
        <v>8</v>
      </c>
      <c r="AX19" s="14">
        <v>7.917022222222222</v>
      </c>
      <c r="AY19" s="14">
        <v>0</v>
      </c>
      <c r="AZ19" s="14">
        <v>7.3517353515625</v>
      </c>
      <c r="BA19" s="14">
        <v>0.9161254339500837</v>
      </c>
      <c r="BB19" s="14">
        <v>16.184883007734804</v>
      </c>
      <c r="BC19" s="16">
        <v>0.25</v>
      </c>
      <c r="BD19" s="17"/>
    </row>
    <row r="20" spans="1:56" ht="12.75">
      <c r="A20" s="13">
        <v>3.2</v>
      </c>
      <c r="B20" s="13" t="s">
        <v>189</v>
      </c>
      <c r="C20" s="14">
        <v>3699</v>
      </c>
      <c r="D20" s="15">
        <v>2.055</v>
      </c>
      <c r="E20" s="14">
        <v>0</v>
      </c>
      <c r="F20" s="14">
        <v>286.3904077777778</v>
      </c>
      <c r="G20" s="14">
        <v>0</v>
      </c>
      <c r="H20" s="14">
        <v>0</v>
      </c>
      <c r="I20" s="14">
        <v>22.911232110116266</v>
      </c>
      <c r="J20" s="14">
        <v>309.30163988789405</v>
      </c>
      <c r="K20" s="16"/>
      <c r="L20" s="17"/>
      <c r="N20" s="14">
        <v>1094</v>
      </c>
      <c r="O20" s="15">
        <v>0.6077777777777778</v>
      </c>
      <c r="P20" s="14">
        <v>0</v>
      </c>
      <c r="Q20" s="14">
        <v>83.50086888888889</v>
      </c>
      <c r="R20" s="14">
        <v>0</v>
      </c>
      <c r="S20" s="14">
        <v>0</v>
      </c>
      <c r="T20" s="14">
        <v>6.680069361799922</v>
      </c>
      <c r="U20" s="14">
        <v>90.18093825068881</v>
      </c>
      <c r="V20" s="16">
        <v>0.2915630783056138</v>
      </c>
      <c r="W20" s="17"/>
      <c r="Y20" s="14">
        <v>990</v>
      </c>
      <c r="Z20" s="15">
        <v>0.55</v>
      </c>
      <c r="AA20" s="14">
        <v>0</v>
      </c>
      <c r="AB20" s="14">
        <v>75.69596666666668</v>
      </c>
      <c r="AC20" s="14">
        <v>0</v>
      </c>
      <c r="AD20" s="14">
        <v>0</v>
      </c>
      <c r="AE20" s="14">
        <v>6.055677197978398</v>
      </c>
      <c r="AF20" s="14">
        <v>81.75164386464508</v>
      </c>
      <c r="AG20" s="16">
        <v>0.26431041197930877</v>
      </c>
      <c r="AH20" s="17"/>
      <c r="AJ20" s="14">
        <v>1135</v>
      </c>
      <c r="AK20" s="15">
        <v>0.6305555555555555</v>
      </c>
      <c r="AL20" s="14">
        <v>0</v>
      </c>
      <c r="AM20" s="14">
        <v>90.05150555555555</v>
      </c>
      <c r="AN20" s="14">
        <v>0</v>
      </c>
      <c r="AO20" s="14">
        <v>0</v>
      </c>
      <c r="AP20" s="14">
        <v>7.204120283419804</v>
      </c>
      <c r="AQ20" s="14">
        <v>97.25562583897535</v>
      </c>
      <c r="AR20" s="16">
        <v>0.31443617911054567</v>
      </c>
      <c r="AS20" s="17"/>
      <c r="AU20" s="14">
        <v>480</v>
      </c>
      <c r="AV20" s="15">
        <v>0.26666666666666666</v>
      </c>
      <c r="AW20" s="14">
        <v>0</v>
      </c>
      <c r="AX20" s="14">
        <v>37.142066666666665</v>
      </c>
      <c r="AY20" s="14">
        <v>0</v>
      </c>
      <c r="AZ20" s="14">
        <v>0</v>
      </c>
      <c r="BA20" s="14">
        <v>2.9713652669181423</v>
      </c>
      <c r="BB20" s="14">
        <v>40.113431933584806</v>
      </c>
      <c r="BC20" s="16">
        <v>0.12969033060453175</v>
      </c>
      <c r="BD20" s="17"/>
    </row>
    <row r="21" spans="1:56" ht="12.75">
      <c r="A21" s="13">
        <v>3.3</v>
      </c>
      <c r="B21" s="13" t="s">
        <v>190</v>
      </c>
      <c r="C21" s="17"/>
      <c r="D21" s="17"/>
      <c r="E21" s="17"/>
      <c r="F21" s="17"/>
      <c r="G21" s="17"/>
      <c r="H21" s="17"/>
      <c r="I21" s="17"/>
      <c r="J21" s="17"/>
      <c r="K21" s="16"/>
      <c r="L21" s="17"/>
      <c r="N21" s="17"/>
      <c r="O21" s="17"/>
      <c r="P21" s="17"/>
      <c r="Q21" s="17"/>
      <c r="R21" s="17"/>
      <c r="S21" s="17"/>
      <c r="T21" s="17"/>
      <c r="U21" s="17"/>
      <c r="V21" s="16"/>
      <c r="W21" s="17"/>
      <c r="Y21" s="17"/>
      <c r="Z21" s="17"/>
      <c r="AA21" s="17"/>
      <c r="AB21" s="17"/>
      <c r="AC21" s="17"/>
      <c r="AD21" s="17"/>
      <c r="AE21" s="17"/>
      <c r="AF21" s="17"/>
      <c r="AG21" s="16"/>
      <c r="AH21" s="17"/>
      <c r="AJ21" s="17"/>
      <c r="AK21" s="17"/>
      <c r="AL21" s="17"/>
      <c r="AM21" s="17"/>
      <c r="AN21" s="17"/>
      <c r="AO21" s="17"/>
      <c r="AP21" s="17"/>
      <c r="AQ21" s="17"/>
      <c r="AR21" s="16"/>
      <c r="AS21" s="17"/>
      <c r="AU21" s="17"/>
      <c r="AV21" s="17"/>
      <c r="AW21" s="17"/>
      <c r="AX21" s="17"/>
      <c r="AY21" s="17"/>
      <c r="AZ21" s="17"/>
      <c r="BA21" s="17"/>
      <c r="BB21" s="17"/>
      <c r="BC21" s="16"/>
      <c r="BD21" s="17"/>
    </row>
    <row r="22" spans="1:56" ht="12.75">
      <c r="A22" s="23" t="s">
        <v>191</v>
      </c>
      <c r="B22" s="13" t="s">
        <v>192</v>
      </c>
      <c r="C22" s="14">
        <v>2800</v>
      </c>
      <c r="D22" s="15">
        <v>1.5555555555555556</v>
      </c>
      <c r="E22" s="14">
        <v>13</v>
      </c>
      <c r="F22" s="14">
        <v>284.40844444444446</v>
      </c>
      <c r="G22" s="14">
        <v>0</v>
      </c>
      <c r="H22" s="14">
        <v>11.946570068359375</v>
      </c>
      <c r="I22" s="14">
        <v>66.47382114791368</v>
      </c>
      <c r="J22" s="14">
        <v>362.8288356607175</v>
      </c>
      <c r="K22" s="16"/>
      <c r="L22" s="17"/>
      <c r="N22" s="14">
        <v>748</v>
      </c>
      <c r="O22" s="15">
        <v>0.41555555555555557</v>
      </c>
      <c r="P22" s="14">
        <v>4</v>
      </c>
      <c r="Q22" s="14">
        <v>81.74204888888889</v>
      </c>
      <c r="R22" s="14">
        <v>0</v>
      </c>
      <c r="S22" s="14">
        <v>3.67586767578125</v>
      </c>
      <c r="T22" s="14">
        <v>17.083583567499257</v>
      </c>
      <c r="U22" s="14">
        <v>102.5015001321694</v>
      </c>
      <c r="V22" s="16">
        <v>0.2825064880676102</v>
      </c>
      <c r="W22" s="17"/>
      <c r="Y22" s="14">
        <v>1120</v>
      </c>
      <c r="Z22" s="15">
        <v>0.6222222222222222</v>
      </c>
      <c r="AA22" s="14">
        <v>4</v>
      </c>
      <c r="AB22" s="14">
        <v>109.28248888888888</v>
      </c>
      <c r="AC22" s="14">
        <v>0</v>
      </c>
      <c r="AD22" s="14">
        <v>3.67586767578125</v>
      </c>
      <c r="AE22" s="14">
        <v>28.23958914116753</v>
      </c>
      <c r="AF22" s="14">
        <v>141.19794570583767</v>
      </c>
      <c r="AG22" s="16">
        <v>0.3891585558482798</v>
      </c>
      <c r="AH22" s="17"/>
      <c r="AJ22" s="14">
        <v>620</v>
      </c>
      <c r="AK22" s="15">
        <v>0.34444444444444444</v>
      </c>
      <c r="AL22" s="14">
        <v>2</v>
      </c>
      <c r="AM22" s="14">
        <v>62.59366666666667</v>
      </c>
      <c r="AN22" s="14">
        <v>0</v>
      </c>
      <c r="AO22" s="14">
        <v>1.837933837890625</v>
      </c>
      <c r="AP22" s="14">
        <v>7.731791887727856</v>
      </c>
      <c r="AQ22" s="14">
        <v>72.16339239228515</v>
      </c>
      <c r="AR22" s="16">
        <v>0.19889100672187307</v>
      </c>
      <c r="AS22" s="17"/>
      <c r="AU22" s="14">
        <v>312</v>
      </c>
      <c r="AV22" s="15">
        <v>0.17333333333333334</v>
      </c>
      <c r="AW22" s="14">
        <v>3</v>
      </c>
      <c r="AX22" s="14">
        <v>30.790239999999997</v>
      </c>
      <c r="AY22" s="14">
        <v>0</v>
      </c>
      <c r="AZ22" s="14">
        <v>2.75690087890625</v>
      </c>
      <c r="BA22" s="14">
        <v>13.41885655151904</v>
      </c>
      <c r="BB22" s="14">
        <v>46.96599743042529</v>
      </c>
      <c r="BC22" s="16">
        <v>0.12944394936223688</v>
      </c>
      <c r="BD22" s="17"/>
    </row>
    <row r="23" spans="1:56" ht="12.75">
      <c r="A23" s="23" t="s">
        <v>193</v>
      </c>
      <c r="B23" s="13" t="s">
        <v>194</v>
      </c>
      <c r="C23" s="14">
        <v>2000</v>
      </c>
      <c r="D23" s="15">
        <v>1.1111111111111112</v>
      </c>
      <c r="E23" s="14">
        <v>14</v>
      </c>
      <c r="F23" s="14">
        <v>186.93555555555557</v>
      </c>
      <c r="G23" s="14">
        <v>0</v>
      </c>
      <c r="H23" s="14">
        <v>24.979377929687498</v>
      </c>
      <c r="I23" s="14">
        <v>66.945373532286</v>
      </c>
      <c r="J23" s="14">
        <v>278.86030701752907</v>
      </c>
      <c r="K23" s="16"/>
      <c r="L23" s="17"/>
      <c r="N23" s="14">
        <v>880</v>
      </c>
      <c r="O23" s="15">
        <v>0.4888888888888889</v>
      </c>
      <c r="P23" s="14">
        <v>4</v>
      </c>
      <c r="Q23" s="14">
        <v>80.58160000000001</v>
      </c>
      <c r="R23" s="14">
        <v>0</v>
      </c>
      <c r="S23" s="14">
        <v>8.521404296875</v>
      </c>
      <c r="T23" s="14">
        <v>17.820601124922646</v>
      </c>
      <c r="U23" s="14">
        <v>106.92360542179766</v>
      </c>
      <c r="V23" s="16">
        <v>0.3834307096817349</v>
      </c>
      <c r="W23" s="17"/>
      <c r="Y23" s="14">
        <v>760</v>
      </c>
      <c r="Z23" s="15">
        <v>0.4222222222222222</v>
      </c>
      <c r="AA23" s="14">
        <v>5</v>
      </c>
      <c r="AB23" s="14">
        <v>73.95808888888888</v>
      </c>
      <c r="AC23" s="14">
        <v>0</v>
      </c>
      <c r="AD23" s="14">
        <v>7.0176025390625</v>
      </c>
      <c r="AE23" s="14">
        <v>32.39027705383329</v>
      </c>
      <c r="AF23" s="14">
        <v>113.36596848178466</v>
      </c>
      <c r="AG23" s="16">
        <v>0.40653318392372895</v>
      </c>
      <c r="AH23" s="17"/>
      <c r="AJ23" s="14">
        <v>240</v>
      </c>
      <c r="AK23" s="15">
        <v>0.13333333333333333</v>
      </c>
      <c r="AL23" s="14">
        <v>3</v>
      </c>
      <c r="AM23" s="14">
        <v>20.55346666666667</v>
      </c>
      <c r="AN23" s="14">
        <v>0</v>
      </c>
      <c r="AO23" s="14">
        <v>5.1796689453125</v>
      </c>
      <c r="AP23" s="14">
        <v>10.293254398173106</v>
      </c>
      <c r="AQ23" s="14">
        <v>36.02639001015228</v>
      </c>
      <c r="AR23" s="16">
        <v>0.12919153104097986</v>
      </c>
      <c r="AS23" s="17"/>
      <c r="AU23" s="14">
        <v>120</v>
      </c>
      <c r="AV23" s="15">
        <v>0.06666666666666667</v>
      </c>
      <c r="AW23" s="14">
        <v>2</v>
      </c>
      <c r="AX23" s="14">
        <v>11.8424</v>
      </c>
      <c r="AY23" s="14">
        <v>0</v>
      </c>
      <c r="AZ23" s="14">
        <v>4.2607021484375</v>
      </c>
      <c r="BA23" s="14">
        <v>6.441240955356967</v>
      </c>
      <c r="BB23" s="14">
        <v>22.544343103794468</v>
      </c>
      <c r="BC23" s="16">
        <v>0.08084457535355628</v>
      </c>
      <c r="BD23" s="17"/>
    </row>
    <row r="24" spans="1:56" ht="12.75">
      <c r="A24" s="23" t="s">
        <v>195</v>
      </c>
      <c r="B24" s="13" t="s">
        <v>196</v>
      </c>
      <c r="C24" s="14">
        <v>1440</v>
      </c>
      <c r="D24" s="15">
        <v>0.8</v>
      </c>
      <c r="E24" s="14">
        <v>4</v>
      </c>
      <c r="F24" s="14">
        <v>112.19213333333333</v>
      </c>
      <c r="G24" s="14">
        <v>0</v>
      </c>
      <c r="H24" s="14">
        <v>11.80417236328125</v>
      </c>
      <c r="I24" s="14">
        <v>33.60457486797905</v>
      </c>
      <c r="J24" s="14">
        <v>157.60088056459364</v>
      </c>
      <c r="K24" s="16"/>
      <c r="L24" s="17"/>
      <c r="N24" s="14">
        <v>0</v>
      </c>
      <c r="O24" s="15">
        <v>0</v>
      </c>
      <c r="P24" s="14">
        <v>2</v>
      </c>
      <c r="Q24" s="14">
        <v>0</v>
      </c>
      <c r="R24" s="14">
        <v>0</v>
      </c>
      <c r="S24" s="14">
        <v>5.1207021484375</v>
      </c>
      <c r="T24" s="14">
        <v>0</v>
      </c>
      <c r="U24" s="14">
        <v>5.1207021484375</v>
      </c>
      <c r="V24" s="16">
        <v>0.03249158335976905</v>
      </c>
      <c r="W24" s="17"/>
      <c r="Y24" s="14">
        <v>1400</v>
      </c>
      <c r="Z24" s="15">
        <v>0.7777777777777778</v>
      </c>
      <c r="AA24" s="14">
        <v>2</v>
      </c>
      <c r="AB24" s="14">
        <v>109.28844444444444</v>
      </c>
      <c r="AC24" s="14">
        <v>0</v>
      </c>
      <c r="AD24" s="14">
        <v>6.68347021484375</v>
      </c>
      <c r="AE24" s="14">
        <v>32.47213624284999</v>
      </c>
      <c r="AF24" s="14">
        <v>148.44405090213817</v>
      </c>
      <c r="AG24" s="16">
        <v>0.9418986135759407</v>
      </c>
      <c r="AH24" s="17"/>
      <c r="AJ24" s="14">
        <v>40</v>
      </c>
      <c r="AK24" s="15">
        <v>0.022222222222222223</v>
      </c>
      <c r="AL24" s="14">
        <v>0</v>
      </c>
      <c r="AM24" s="14">
        <v>2.903688888888889</v>
      </c>
      <c r="AN24" s="14">
        <v>0</v>
      </c>
      <c r="AO24" s="14">
        <v>0</v>
      </c>
      <c r="AP24" s="14">
        <v>1.132438625129064</v>
      </c>
      <c r="AQ24" s="14">
        <v>4.036127514017953</v>
      </c>
      <c r="AR24" s="16">
        <v>0.025609803064290133</v>
      </c>
      <c r="AS24" s="17"/>
      <c r="AU24" s="14">
        <v>0</v>
      </c>
      <c r="AV24" s="15">
        <v>0</v>
      </c>
      <c r="AW24" s="14">
        <v>0</v>
      </c>
      <c r="AX24" s="14">
        <v>0</v>
      </c>
      <c r="AY24" s="14">
        <v>0</v>
      </c>
      <c r="AZ24" s="14">
        <v>0</v>
      </c>
      <c r="BA24" s="14">
        <v>0</v>
      </c>
      <c r="BB24" s="14">
        <v>0</v>
      </c>
      <c r="BC24" s="16">
        <v>0</v>
      </c>
      <c r="BD24" s="17"/>
    </row>
    <row r="25" spans="1:56" ht="12.75">
      <c r="A25" s="23">
        <v>3.4</v>
      </c>
      <c r="B25" s="13" t="s">
        <v>197</v>
      </c>
      <c r="C25" s="14"/>
      <c r="D25" s="15"/>
      <c r="E25" s="14"/>
      <c r="F25" s="14"/>
      <c r="G25" s="14"/>
      <c r="H25" s="14"/>
      <c r="I25" s="14"/>
      <c r="J25" s="14"/>
      <c r="K25" s="16"/>
      <c r="L25" s="17"/>
      <c r="N25" s="14"/>
      <c r="O25" s="15"/>
      <c r="P25" s="14"/>
      <c r="Q25" s="14"/>
      <c r="R25" s="14"/>
      <c r="S25" s="14"/>
      <c r="T25" s="14"/>
      <c r="U25" s="14"/>
      <c r="V25" s="16"/>
      <c r="W25" s="17"/>
      <c r="Y25" s="14"/>
      <c r="Z25" s="15"/>
      <c r="AA25" s="14"/>
      <c r="AB25" s="14"/>
      <c r="AC25" s="14"/>
      <c r="AD25" s="14"/>
      <c r="AE25" s="14"/>
      <c r="AF25" s="14"/>
      <c r="AG25" s="16"/>
      <c r="AH25" s="17"/>
      <c r="AJ25" s="14"/>
      <c r="AK25" s="15"/>
      <c r="AL25" s="14"/>
      <c r="AM25" s="14"/>
      <c r="AN25" s="14"/>
      <c r="AO25" s="14"/>
      <c r="AP25" s="14"/>
      <c r="AQ25" s="14"/>
      <c r="AR25" s="16"/>
      <c r="AS25" s="17"/>
      <c r="AU25" s="14"/>
      <c r="AV25" s="15"/>
      <c r="AW25" s="14"/>
      <c r="AX25" s="14"/>
      <c r="AY25" s="14"/>
      <c r="AZ25" s="14"/>
      <c r="BA25" s="14"/>
      <c r="BB25" s="14"/>
      <c r="BC25" s="16"/>
      <c r="BD25" s="17"/>
    </row>
    <row r="26" spans="1:56" ht="12.75">
      <c r="A26" s="23" t="s">
        <v>198</v>
      </c>
      <c r="B26" s="13" t="s">
        <v>199</v>
      </c>
      <c r="C26" s="14">
        <v>1016</v>
      </c>
      <c r="D26" s="15">
        <v>0.5644444444444444</v>
      </c>
      <c r="E26" s="14">
        <v>0</v>
      </c>
      <c r="F26" s="14">
        <v>94.81241777777777</v>
      </c>
      <c r="G26" s="14">
        <v>0</v>
      </c>
      <c r="H26" s="14">
        <v>0</v>
      </c>
      <c r="I26" s="14">
        <v>28.443726463585435</v>
      </c>
      <c r="J26" s="14">
        <v>123.2561442413632</v>
      </c>
      <c r="K26" s="16"/>
      <c r="L26" s="17"/>
      <c r="N26" s="14">
        <v>264</v>
      </c>
      <c r="O26" s="15">
        <v>0.14666666666666667</v>
      </c>
      <c r="P26" s="14">
        <v>0</v>
      </c>
      <c r="Q26" s="14">
        <v>24.97344888888889</v>
      </c>
      <c r="R26" s="14">
        <v>0</v>
      </c>
      <c r="S26" s="14">
        <v>0</v>
      </c>
      <c r="T26" s="14">
        <v>7.492034964373376</v>
      </c>
      <c r="U26" s="14">
        <v>32.46548385326226</v>
      </c>
      <c r="V26" s="16">
        <v>0.2633985027933987</v>
      </c>
      <c r="W26" s="17"/>
      <c r="Y26" s="14">
        <v>304</v>
      </c>
      <c r="Z26" s="15">
        <v>0.1688888888888889</v>
      </c>
      <c r="AA26" s="14">
        <v>0</v>
      </c>
      <c r="AB26" s="14">
        <v>27.832071111111112</v>
      </c>
      <c r="AC26" s="14">
        <v>0</v>
      </c>
      <c r="AD26" s="14">
        <v>0</v>
      </c>
      <c r="AE26" s="14">
        <v>8.349621665117477</v>
      </c>
      <c r="AF26" s="14">
        <v>36.18169277622859</v>
      </c>
      <c r="AG26" s="16">
        <v>0.293548796280506</v>
      </c>
      <c r="AH26" s="17"/>
      <c r="AJ26" s="14">
        <v>304</v>
      </c>
      <c r="AK26" s="15">
        <v>0.1688888888888889</v>
      </c>
      <c r="AL26" s="14">
        <v>0</v>
      </c>
      <c r="AM26" s="14">
        <v>27.832071111111112</v>
      </c>
      <c r="AN26" s="14">
        <v>0</v>
      </c>
      <c r="AO26" s="14">
        <v>0</v>
      </c>
      <c r="AP26" s="14">
        <v>8.349621665117477</v>
      </c>
      <c r="AQ26" s="14">
        <v>36.18169277622859</v>
      </c>
      <c r="AR26" s="16">
        <v>0.293548796280506</v>
      </c>
      <c r="AS26" s="17"/>
      <c r="AU26" s="14">
        <v>144</v>
      </c>
      <c r="AV26" s="15">
        <v>0.08</v>
      </c>
      <c r="AW26" s="14">
        <v>0</v>
      </c>
      <c r="AX26" s="14">
        <v>14.174826666666668</v>
      </c>
      <c r="AY26" s="14">
        <v>0</v>
      </c>
      <c r="AZ26" s="14">
        <v>0</v>
      </c>
      <c r="BA26" s="14">
        <v>4.252448168977102</v>
      </c>
      <c r="BB26" s="14">
        <v>18.42727483564377</v>
      </c>
      <c r="BC26" s="16">
        <v>0.14950390464558935</v>
      </c>
      <c r="BD26" s="17"/>
    </row>
    <row r="27" spans="1:56" ht="12.75">
      <c r="A27" s="23" t="s">
        <v>200</v>
      </c>
      <c r="B27" s="13" t="s">
        <v>201</v>
      </c>
      <c r="C27" s="14">
        <v>310</v>
      </c>
      <c r="D27" s="15">
        <v>0.17222222222222222</v>
      </c>
      <c r="E27" s="14">
        <v>0</v>
      </c>
      <c r="F27" s="14">
        <v>30.418233333333333</v>
      </c>
      <c r="G27" s="14">
        <v>0</v>
      </c>
      <c r="H27" s="14">
        <v>0</v>
      </c>
      <c r="I27" s="14">
        <v>9.1254703626136</v>
      </c>
      <c r="J27" s="14">
        <v>39.54370369594693</v>
      </c>
      <c r="K27" s="16"/>
      <c r="L27" s="17"/>
      <c r="N27" s="14">
        <v>80</v>
      </c>
      <c r="O27" s="15">
        <v>0.044444444444444446</v>
      </c>
      <c r="P27" s="14">
        <v>0</v>
      </c>
      <c r="Q27" s="14">
        <v>7.849866666666667</v>
      </c>
      <c r="R27" s="14">
        <v>0</v>
      </c>
      <c r="S27" s="14">
        <v>0</v>
      </c>
      <c r="T27" s="14">
        <v>2.354960093577703</v>
      </c>
      <c r="U27" s="14">
        <v>10.20482676024437</v>
      </c>
      <c r="V27" s="16">
        <v>0.25806451612903225</v>
      </c>
      <c r="W27" s="17"/>
      <c r="Y27" s="14">
        <v>200</v>
      </c>
      <c r="Z27" s="15">
        <v>0.1111111111111111</v>
      </c>
      <c r="AA27" s="14">
        <v>0</v>
      </c>
      <c r="AB27" s="14">
        <v>19.624666666666666</v>
      </c>
      <c r="AC27" s="14">
        <v>0</v>
      </c>
      <c r="AD27" s="14">
        <v>0</v>
      </c>
      <c r="AE27" s="14">
        <v>5.887400233944257</v>
      </c>
      <c r="AF27" s="14">
        <v>25.512066900610925</v>
      </c>
      <c r="AG27" s="16">
        <v>0.6451612903225807</v>
      </c>
      <c r="AH27" s="17"/>
      <c r="AJ27" s="14">
        <v>30</v>
      </c>
      <c r="AK27" s="15">
        <v>0.016666666666666666</v>
      </c>
      <c r="AL27" s="14">
        <v>0</v>
      </c>
      <c r="AM27" s="14">
        <v>2.9436999999999998</v>
      </c>
      <c r="AN27" s="14">
        <v>0</v>
      </c>
      <c r="AO27" s="14">
        <v>0</v>
      </c>
      <c r="AP27" s="14">
        <v>0.8831100350916385</v>
      </c>
      <c r="AQ27" s="14">
        <v>3.826810035091638</v>
      </c>
      <c r="AR27" s="16">
        <v>0.09677419354838708</v>
      </c>
      <c r="AS27" s="17"/>
      <c r="AU27" s="14">
        <v>0</v>
      </c>
      <c r="AV27" s="15">
        <v>0</v>
      </c>
      <c r="AW27" s="14">
        <v>0</v>
      </c>
      <c r="AX27" s="14">
        <v>0</v>
      </c>
      <c r="AY27" s="14">
        <v>0</v>
      </c>
      <c r="AZ27" s="14">
        <v>0</v>
      </c>
      <c r="BA27" s="14">
        <v>0</v>
      </c>
      <c r="BB27" s="14">
        <v>0</v>
      </c>
      <c r="BC27" s="16">
        <v>0</v>
      </c>
      <c r="BD27" s="17"/>
    </row>
    <row r="28" spans="1:56" ht="12.75">
      <c r="A28" s="23" t="s">
        <v>202</v>
      </c>
      <c r="B28" s="13" t="s">
        <v>203</v>
      </c>
      <c r="C28" s="14">
        <v>830</v>
      </c>
      <c r="D28" s="15">
        <v>0.46111111111111114</v>
      </c>
      <c r="E28" s="14">
        <v>0</v>
      </c>
      <c r="F28" s="14">
        <v>102.04826666666666</v>
      </c>
      <c r="G28" s="14">
        <v>0</v>
      </c>
      <c r="H28" s="14">
        <v>0</v>
      </c>
      <c r="I28" s="14">
        <v>22.45061854501565</v>
      </c>
      <c r="J28" s="14">
        <v>124.4988852116823</v>
      </c>
      <c r="K28" s="16"/>
      <c r="L28" s="17"/>
      <c r="N28" s="14">
        <v>304</v>
      </c>
      <c r="O28" s="15">
        <v>0.1688888888888889</v>
      </c>
      <c r="P28" s="14">
        <v>0</v>
      </c>
      <c r="Q28" s="14">
        <v>29.829493333333332</v>
      </c>
      <c r="R28" s="14">
        <v>0</v>
      </c>
      <c r="S28" s="14">
        <v>0</v>
      </c>
      <c r="T28" s="14">
        <v>6.562488497773805</v>
      </c>
      <c r="U28" s="14">
        <v>36.39198183110714</v>
      </c>
      <c r="V28" s="16">
        <v>0.2923076923076923</v>
      </c>
      <c r="W28" s="17"/>
      <c r="Y28" s="14">
        <v>320</v>
      </c>
      <c r="Z28" s="15">
        <v>0.17777777777777778</v>
      </c>
      <c r="AA28" s="14">
        <v>0</v>
      </c>
      <c r="AB28" s="14">
        <v>31.39946666666667</v>
      </c>
      <c r="AC28" s="14">
        <v>0</v>
      </c>
      <c r="AD28" s="14">
        <v>0</v>
      </c>
      <c r="AE28" s="14">
        <v>6.907882629235585</v>
      </c>
      <c r="AF28" s="14">
        <v>38.307349295902256</v>
      </c>
      <c r="AG28" s="16">
        <v>0.30769230769230776</v>
      </c>
      <c r="AH28" s="17"/>
      <c r="AJ28" s="14">
        <v>240</v>
      </c>
      <c r="AK28" s="15">
        <v>0.13333333333333333</v>
      </c>
      <c r="AL28" s="14">
        <v>0</v>
      </c>
      <c r="AM28" s="14">
        <v>23.549599999999998</v>
      </c>
      <c r="AN28" s="14">
        <v>0</v>
      </c>
      <c r="AO28" s="14">
        <v>0</v>
      </c>
      <c r="AP28" s="14">
        <v>5.180911971926689</v>
      </c>
      <c r="AQ28" s="14">
        <v>28.73051197192669</v>
      </c>
      <c r="AR28" s="16">
        <v>0.23076923076923078</v>
      </c>
      <c r="AS28" s="17"/>
      <c r="AU28" s="14">
        <v>176</v>
      </c>
      <c r="AV28" s="15">
        <v>0.09777777777777778</v>
      </c>
      <c r="AW28" s="14">
        <v>0</v>
      </c>
      <c r="AX28" s="14">
        <v>17.269706666666664</v>
      </c>
      <c r="AY28" s="14">
        <v>0</v>
      </c>
      <c r="AZ28" s="14">
        <v>0</v>
      </c>
      <c r="BA28" s="14">
        <v>3.7993354460795716</v>
      </c>
      <c r="BB28" s="14">
        <v>21.069042112746235</v>
      </c>
      <c r="BC28" s="16">
        <v>0.1692307692307692</v>
      </c>
      <c r="BD28" s="17"/>
    </row>
    <row r="29" spans="1:56" ht="12.75">
      <c r="A29" s="23" t="s">
        <v>204</v>
      </c>
      <c r="B29" s="13" t="s">
        <v>205</v>
      </c>
      <c r="C29" s="14">
        <v>776</v>
      </c>
      <c r="D29" s="15">
        <v>0.4311111111111111</v>
      </c>
      <c r="E29" s="14">
        <v>4</v>
      </c>
      <c r="F29" s="14">
        <v>66.95250666666666</v>
      </c>
      <c r="G29" s="14">
        <v>0</v>
      </c>
      <c r="H29" s="14">
        <v>13.3669404296875</v>
      </c>
      <c r="I29" s="14">
        <v>14.457501051833203</v>
      </c>
      <c r="J29" s="14">
        <v>94.77694814818737</v>
      </c>
      <c r="K29" s="16"/>
      <c r="L29" s="17"/>
      <c r="N29" s="14">
        <v>224</v>
      </c>
      <c r="O29" s="15">
        <v>0.12444444444444444</v>
      </c>
      <c r="P29" s="14">
        <v>1</v>
      </c>
      <c r="Q29" s="14">
        <v>17.894648888888888</v>
      </c>
      <c r="R29" s="14">
        <v>0</v>
      </c>
      <c r="S29" s="14">
        <v>3.341735107421875</v>
      </c>
      <c r="T29" s="14">
        <v>3.822549271230393</v>
      </c>
      <c r="U29" s="14">
        <v>25.058933267541157</v>
      </c>
      <c r="V29" s="16">
        <v>0.2643990311690619</v>
      </c>
      <c r="W29" s="17"/>
      <c r="Y29" s="14">
        <v>360</v>
      </c>
      <c r="Z29" s="15">
        <v>0.2</v>
      </c>
      <c r="AA29" s="14">
        <v>1</v>
      </c>
      <c r="AB29" s="14">
        <v>30.218177777777775</v>
      </c>
      <c r="AC29" s="14">
        <v>0</v>
      </c>
      <c r="AD29" s="14">
        <v>3.341735107421875</v>
      </c>
      <c r="AE29" s="14">
        <v>6.040784559375139</v>
      </c>
      <c r="AF29" s="14">
        <v>39.60069744457479</v>
      </c>
      <c r="AG29" s="16">
        <v>0.41783047690729175</v>
      </c>
      <c r="AH29" s="17"/>
      <c r="AJ29" s="14">
        <v>96</v>
      </c>
      <c r="AK29" s="15">
        <v>0.05333333333333334</v>
      </c>
      <c r="AL29" s="14">
        <v>1</v>
      </c>
      <c r="AM29" s="14">
        <v>9.41984</v>
      </c>
      <c r="AN29" s="14">
        <v>0</v>
      </c>
      <c r="AO29" s="14">
        <v>3.341735107421875</v>
      </c>
      <c r="AP29" s="14">
        <v>2.2970836106138357</v>
      </c>
      <c r="AQ29" s="14">
        <v>15.058658718035712</v>
      </c>
      <c r="AR29" s="16">
        <v>0.15888524596182318</v>
      </c>
      <c r="AS29" s="17"/>
      <c r="AU29" s="14">
        <v>96</v>
      </c>
      <c r="AV29" s="15">
        <v>0.05333333333333334</v>
      </c>
      <c r="AW29" s="14">
        <v>1</v>
      </c>
      <c r="AX29" s="14">
        <v>9.41984</v>
      </c>
      <c r="AY29" s="14">
        <v>0</v>
      </c>
      <c r="AZ29" s="14">
        <v>3.341735107421875</v>
      </c>
      <c r="BA29" s="14">
        <v>2.2970836106138357</v>
      </c>
      <c r="BB29" s="14">
        <v>15.058658718035712</v>
      </c>
      <c r="BC29" s="16">
        <v>0.15888524596182318</v>
      </c>
      <c r="BD29" s="17"/>
    </row>
    <row r="30" spans="1:56" ht="12.75">
      <c r="A30" s="13">
        <v>3.5</v>
      </c>
      <c r="B30" s="13" t="s">
        <v>206</v>
      </c>
      <c r="C30" s="14">
        <v>524</v>
      </c>
      <c r="D30" s="15">
        <v>0.2911111111111111</v>
      </c>
      <c r="E30" s="14">
        <v>0</v>
      </c>
      <c r="F30" s="14">
        <v>45.13433555555555</v>
      </c>
      <c r="G30" s="14">
        <v>0</v>
      </c>
      <c r="H30" s="14">
        <v>0</v>
      </c>
      <c r="I30" s="14">
        <v>3.197462936534799</v>
      </c>
      <c r="J30" s="14">
        <v>48.33179849209035</v>
      </c>
      <c r="K30" s="16"/>
      <c r="L30" s="17"/>
      <c r="N30" s="14">
        <v>284</v>
      </c>
      <c r="O30" s="15">
        <v>0.15777777777777777</v>
      </c>
      <c r="P30" s="14">
        <v>0</v>
      </c>
      <c r="Q30" s="14">
        <v>24.612257777777778</v>
      </c>
      <c r="R30" s="14">
        <v>0</v>
      </c>
      <c r="S30" s="14">
        <v>0</v>
      </c>
      <c r="T30" s="14">
        <v>1.2306129072264498</v>
      </c>
      <c r="U30" s="14">
        <v>25.84287068500423</v>
      </c>
      <c r="V30" s="16">
        <v>0.5346970626229334</v>
      </c>
      <c r="W30" s="17"/>
      <c r="Y30" s="14">
        <v>140</v>
      </c>
      <c r="Z30" s="15">
        <v>0.07777777777777778</v>
      </c>
      <c r="AA30" s="14">
        <v>0</v>
      </c>
      <c r="AB30" s="14">
        <v>11.505977777777776</v>
      </c>
      <c r="AC30" s="14">
        <v>0</v>
      </c>
      <c r="AD30" s="14">
        <v>0</v>
      </c>
      <c r="AE30" s="14">
        <v>1.1505977949230206</v>
      </c>
      <c r="AF30" s="14">
        <v>12.656575572700797</v>
      </c>
      <c r="AG30" s="16">
        <v>0.2618684999849961</v>
      </c>
      <c r="AH30" s="17"/>
      <c r="AJ30" s="14">
        <v>80</v>
      </c>
      <c r="AK30" s="15">
        <v>0.044444444444444446</v>
      </c>
      <c r="AL30" s="14">
        <v>0</v>
      </c>
      <c r="AM30" s="14">
        <v>7.308944444444444</v>
      </c>
      <c r="AN30" s="14">
        <v>0</v>
      </c>
      <c r="AO30" s="14">
        <v>0</v>
      </c>
      <c r="AP30" s="14">
        <v>0.7308944553356204</v>
      </c>
      <c r="AQ30" s="14">
        <v>8.039838899780065</v>
      </c>
      <c r="AR30" s="16">
        <v>0.16634677687601074</v>
      </c>
      <c r="AS30" s="17"/>
      <c r="AU30" s="14">
        <v>20</v>
      </c>
      <c r="AV30" s="15">
        <v>0.011111111111111112</v>
      </c>
      <c r="AW30" s="14">
        <v>0</v>
      </c>
      <c r="AX30" s="14">
        <v>1.7071555555555555</v>
      </c>
      <c r="AY30" s="14">
        <v>0</v>
      </c>
      <c r="AZ30" s="14">
        <v>0</v>
      </c>
      <c r="BA30" s="14">
        <v>0.08535777904970779</v>
      </c>
      <c r="BB30" s="14">
        <v>1.7925133346052633</v>
      </c>
      <c r="BC30" s="16">
        <v>0.03708766051605991</v>
      </c>
      <c r="BD30" s="17"/>
    </row>
    <row r="31" spans="1:56" ht="12.75">
      <c r="A31" s="13">
        <v>3.6</v>
      </c>
      <c r="B31" s="13" t="s">
        <v>207</v>
      </c>
      <c r="C31" s="14">
        <v>1672</v>
      </c>
      <c r="D31" s="15">
        <v>0.9288888888888889</v>
      </c>
      <c r="E31" s="14">
        <v>14</v>
      </c>
      <c r="F31" s="14">
        <v>140.77784000000003</v>
      </c>
      <c r="G31" s="14">
        <v>0</v>
      </c>
      <c r="H31" s="14">
        <v>28.26214599609375</v>
      </c>
      <c r="I31" s="14">
        <v>31.166834951658714</v>
      </c>
      <c r="J31" s="14">
        <v>200.20682094775248</v>
      </c>
      <c r="K31" s="16"/>
      <c r="L31" s="17"/>
      <c r="N31" s="14">
        <v>280</v>
      </c>
      <c r="O31" s="15">
        <v>0.15555555555555556</v>
      </c>
      <c r="P31" s="14">
        <v>4</v>
      </c>
      <c r="Q31" s="14">
        <v>22.98105777777778</v>
      </c>
      <c r="R31" s="14">
        <v>0</v>
      </c>
      <c r="S31" s="14">
        <v>8.521404296875</v>
      </c>
      <c r="T31" s="14">
        <v>4.41034470922832</v>
      </c>
      <c r="U31" s="14">
        <v>35.9128067838811</v>
      </c>
      <c r="V31" s="16">
        <v>0.17937853772351336</v>
      </c>
      <c r="W31" s="17"/>
      <c r="Y31" s="14">
        <v>832</v>
      </c>
      <c r="Z31" s="15">
        <v>0.4622222222222222</v>
      </c>
      <c r="AA31" s="14">
        <v>4</v>
      </c>
      <c r="AB31" s="14">
        <v>71.4261688888889</v>
      </c>
      <c r="AC31" s="14">
        <v>0</v>
      </c>
      <c r="AD31" s="14">
        <v>6.0986357421875</v>
      </c>
      <c r="AE31" s="14">
        <v>10.853472694559079</v>
      </c>
      <c r="AF31" s="14">
        <v>88.37827732563547</v>
      </c>
      <c r="AG31" s="16">
        <v>0.4414348967096348</v>
      </c>
      <c r="AH31" s="17"/>
      <c r="AJ31" s="14">
        <v>416</v>
      </c>
      <c r="AK31" s="15">
        <v>0.2311111111111111</v>
      </c>
      <c r="AL31" s="14">
        <v>4</v>
      </c>
      <c r="AM31" s="14">
        <v>35.91733333333333</v>
      </c>
      <c r="AN31" s="14">
        <v>0</v>
      </c>
      <c r="AO31" s="14">
        <v>6.0986357421875</v>
      </c>
      <c r="AP31" s="14">
        <v>10.503992268880207</v>
      </c>
      <c r="AQ31" s="14">
        <v>52.51996134440104</v>
      </c>
      <c r="AR31" s="16">
        <v>0.26232853154442254</v>
      </c>
      <c r="AS31" s="17"/>
      <c r="AU31" s="14">
        <v>144</v>
      </c>
      <c r="AV31" s="15">
        <v>0.08</v>
      </c>
      <c r="AW31" s="14">
        <v>2</v>
      </c>
      <c r="AX31" s="14">
        <v>10.45328</v>
      </c>
      <c r="AY31" s="14">
        <v>0</v>
      </c>
      <c r="AZ31" s="14">
        <v>7.54347021484375</v>
      </c>
      <c r="BA31" s="14">
        <v>5.399025278991106</v>
      </c>
      <c r="BB31" s="14">
        <v>23.395775493834854</v>
      </c>
      <c r="BC31" s="16">
        <v>0.11685803402242922</v>
      </c>
      <c r="BD31" s="17"/>
    </row>
    <row r="32" spans="1:56" ht="12.75">
      <c r="A32" s="13">
        <v>3.7</v>
      </c>
      <c r="B32" s="13" t="s">
        <v>208</v>
      </c>
      <c r="C32" s="14">
        <v>684</v>
      </c>
      <c r="D32" s="15">
        <v>0.38</v>
      </c>
      <c r="E32" s="14">
        <v>0</v>
      </c>
      <c r="F32" s="14">
        <v>33.928686666666664</v>
      </c>
      <c r="G32" s="14">
        <v>0</v>
      </c>
      <c r="H32" s="14">
        <v>0</v>
      </c>
      <c r="I32" s="14">
        <v>13.910761411994894</v>
      </c>
      <c r="J32" s="14">
        <v>47.83944807866156</v>
      </c>
      <c r="K32" s="16"/>
      <c r="L32" s="17"/>
      <c r="N32" s="14">
        <v>218</v>
      </c>
      <c r="O32" s="15">
        <v>0.12111111111111111</v>
      </c>
      <c r="P32" s="14">
        <v>0</v>
      </c>
      <c r="Q32" s="14">
        <v>11.622043333333334</v>
      </c>
      <c r="R32" s="14">
        <v>0</v>
      </c>
      <c r="S32" s="14">
        <v>0</v>
      </c>
      <c r="T32" s="14">
        <v>4.765037725103</v>
      </c>
      <c r="U32" s="14">
        <v>16.387081058436333</v>
      </c>
      <c r="V32" s="16">
        <v>0.3425432716425019</v>
      </c>
      <c r="W32" s="17"/>
      <c r="Y32" s="14">
        <v>180</v>
      </c>
      <c r="Z32" s="15">
        <v>0.1</v>
      </c>
      <c r="AA32" s="14">
        <v>0</v>
      </c>
      <c r="AB32" s="14">
        <v>8.616299999999999</v>
      </c>
      <c r="AC32" s="14">
        <v>0</v>
      </c>
      <c r="AD32" s="14">
        <v>0</v>
      </c>
      <c r="AE32" s="14">
        <v>3.53268296918571</v>
      </c>
      <c r="AF32" s="14">
        <v>12.14898296918571</v>
      </c>
      <c r="AG32" s="16">
        <v>0.2539532427131967</v>
      </c>
      <c r="AH32" s="17"/>
      <c r="AJ32" s="14">
        <v>208</v>
      </c>
      <c r="AK32" s="15">
        <v>0.11555555555555555</v>
      </c>
      <c r="AL32" s="14">
        <v>0</v>
      </c>
      <c r="AM32" s="14">
        <v>9.956613333333333</v>
      </c>
      <c r="AN32" s="14">
        <v>0</v>
      </c>
      <c r="AO32" s="14">
        <v>0</v>
      </c>
      <c r="AP32" s="14">
        <v>4.082211431059043</v>
      </c>
      <c r="AQ32" s="14">
        <v>14.038824764392377</v>
      </c>
      <c r="AR32" s="16">
        <v>0.2934570804685828</v>
      </c>
      <c r="AS32" s="17"/>
      <c r="AU32" s="14">
        <v>78</v>
      </c>
      <c r="AV32" s="15">
        <v>0.043333333333333335</v>
      </c>
      <c r="AW32" s="14">
        <v>0</v>
      </c>
      <c r="AX32" s="14">
        <v>3.73373</v>
      </c>
      <c r="AY32" s="14">
        <v>0</v>
      </c>
      <c r="AZ32" s="14">
        <v>0</v>
      </c>
      <c r="BA32" s="14">
        <v>1.5308292866471411</v>
      </c>
      <c r="BB32" s="14">
        <v>5.264559286647141</v>
      </c>
      <c r="BC32" s="16">
        <v>0.11004640517571856</v>
      </c>
      <c r="BD32" s="17"/>
    </row>
    <row r="33" spans="1:56" ht="12.75">
      <c r="A33" s="13">
        <v>3.8</v>
      </c>
      <c r="B33" s="13" t="s">
        <v>209</v>
      </c>
      <c r="C33" s="14">
        <v>253</v>
      </c>
      <c r="D33" s="15">
        <v>0.14055555555555554</v>
      </c>
      <c r="E33" s="14">
        <v>0</v>
      </c>
      <c r="F33" s="14">
        <v>13.115788333333334</v>
      </c>
      <c r="G33" s="14">
        <v>0</v>
      </c>
      <c r="H33" s="14">
        <v>0</v>
      </c>
      <c r="I33" s="14">
        <v>1.8362103744842857</v>
      </c>
      <c r="J33" s="14">
        <v>14.95199870781762</v>
      </c>
      <c r="K33" s="16"/>
      <c r="L33" s="17"/>
      <c r="N33" s="14">
        <v>20</v>
      </c>
      <c r="O33" s="15">
        <v>0.011111111111111112</v>
      </c>
      <c r="P33" s="14">
        <v>0</v>
      </c>
      <c r="Q33" s="14">
        <v>1.9624666666666668</v>
      </c>
      <c r="R33" s="14">
        <v>0</v>
      </c>
      <c r="S33" s="14">
        <v>0</v>
      </c>
      <c r="T33" s="14">
        <v>0.2747453345030546</v>
      </c>
      <c r="U33" s="14">
        <v>2.2372120011697216</v>
      </c>
      <c r="V33" s="16">
        <v>0.14962628374225315</v>
      </c>
      <c r="W33" s="17"/>
      <c r="Y33" s="14">
        <v>90</v>
      </c>
      <c r="Z33" s="15">
        <v>0.05</v>
      </c>
      <c r="AA33" s="14">
        <v>0</v>
      </c>
      <c r="AB33" s="14">
        <v>4.3081499999999995</v>
      </c>
      <c r="AC33" s="14">
        <v>0</v>
      </c>
      <c r="AD33" s="14">
        <v>0</v>
      </c>
      <c r="AE33" s="14">
        <v>0.6031410025678574</v>
      </c>
      <c r="AF33" s="14">
        <v>4.911291002567857</v>
      </c>
      <c r="AG33" s="16">
        <v>0.3284705341768121</v>
      </c>
      <c r="AH33" s="17"/>
      <c r="AJ33" s="14">
        <v>104</v>
      </c>
      <c r="AK33" s="15">
        <v>0.057777777777777775</v>
      </c>
      <c r="AL33" s="14">
        <v>0</v>
      </c>
      <c r="AM33" s="14">
        <v>4.978306666666667</v>
      </c>
      <c r="AN33" s="14">
        <v>0</v>
      </c>
      <c r="AO33" s="14">
        <v>0</v>
      </c>
      <c r="AP33" s="14">
        <v>0.6969629363006353</v>
      </c>
      <c r="AQ33" s="14">
        <v>5.675269602967302</v>
      </c>
      <c r="AR33" s="16">
        <v>0.3795659506043162</v>
      </c>
      <c r="AS33" s="17"/>
      <c r="AU33" s="14">
        <v>39</v>
      </c>
      <c r="AV33" s="15">
        <v>0.021666666666666667</v>
      </c>
      <c r="AW33" s="14">
        <v>0</v>
      </c>
      <c r="AX33" s="14">
        <v>1.866865</v>
      </c>
      <c r="AY33" s="14">
        <v>0</v>
      </c>
      <c r="AZ33" s="14">
        <v>0</v>
      </c>
      <c r="BA33" s="14">
        <v>0.26136110111273825</v>
      </c>
      <c r="BB33" s="14">
        <v>2.1282261011127384</v>
      </c>
      <c r="BC33" s="16">
        <v>0.1423372314766186</v>
      </c>
      <c r="BD33" s="17"/>
    </row>
    <row r="34" spans="1:56" ht="12.75">
      <c r="A34" s="24">
        <v>3.9</v>
      </c>
      <c r="B34" s="13" t="s">
        <v>210</v>
      </c>
      <c r="C34" s="14">
        <v>2000</v>
      </c>
      <c r="D34" s="15">
        <v>1.1111111111111112</v>
      </c>
      <c r="E34" s="14">
        <v>1</v>
      </c>
      <c r="F34" s="14">
        <v>196.69733333333335</v>
      </c>
      <c r="G34" s="14">
        <v>262.65</v>
      </c>
      <c r="H34" s="14">
        <v>3.771735107421875</v>
      </c>
      <c r="I34" s="14">
        <v>32.494761904616716</v>
      </c>
      <c r="J34" s="14">
        <v>495.6138303453719</v>
      </c>
      <c r="K34" s="16"/>
      <c r="L34" s="17"/>
      <c r="N34" s="14">
        <v>700</v>
      </c>
      <c r="O34" s="15">
        <v>0.3888888888888889</v>
      </c>
      <c r="P34" s="14">
        <v>0</v>
      </c>
      <c r="Q34" s="14">
        <v>71.35211111111111</v>
      </c>
      <c r="R34" s="14">
        <v>108.15</v>
      </c>
      <c r="S34" s="14">
        <v>0</v>
      </c>
      <c r="T34" s="14">
        <v>8.97510568929505</v>
      </c>
      <c r="U34" s="14">
        <v>188.47721680040615</v>
      </c>
      <c r="V34" s="16">
        <v>0.3802904706453904</v>
      </c>
      <c r="W34" s="17"/>
      <c r="Y34" s="14">
        <v>800</v>
      </c>
      <c r="Z34" s="15">
        <v>0.4444444444444444</v>
      </c>
      <c r="AA34" s="14">
        <v>1</v>
      </c>
      <c r="AB34" s="14">
        <v>83.83022222222222</v>
      </c>
      <c r="AC34" s="14">
        <v>154.5</v>
      </c>
      <c r="AD34" s="14">
        <v>3.771735107421875</v>
      </c>
      <c r="AE34" s="14">
        <v>19.36815615345949</v>
      </c>
      <c r="AF34" s="14">
        <v>261.4701134831036</v>
      </c>
      <c r="AG34" s="16">
        <v>0.5275682345282745</v>
      </c>
      <c r="AH34" s="17"/>
      <c r="AJ34" s="14">
        <v>500</v>
      </c>
      <c r="AK34" s="15">
        <v>0.2777777777777778</v>
      </c>
      <c r="AL34" s="14">
        <v>0</v>
      </c>
      <c r="AM34" s="14">
        <v>41.515</v>
      </c>
      <c r="AN34" s="14">
        <v>0</v>
      </c>
      <c r="AO34" s="14">
        <v>0</v>
      </c>
      <c r="AP34" s="14">
        <v>4.151500061862171</v>
      </c>
      <c r="AQ34" s="14">
        <v>45.66650006186217</v>
      </c>
      <c r="AR34" s="16">
        <v>0.09214129482633517</v>
      </c>
      <c r="AS34" s="17"/>
      <c r="AU34" s="14">
        <v>0</v>
      </c>
      <c r="AV34" s="15">
        <v>0</v>
      </c>
      <c r="AW34" s="14">
        <v>0</v>
      </c>
      <c r="AX34" s="14">
        <v>0</v>
      </c>
      <c r="AY34" s="14">
        <v>0</v>
      </c>
      <c r="AZ34" s="14">
        <v>0</v>
      </c>
      <c r="BA34" s="14">
        <v>0</v>
      </c>
      <c r="BB34" s="14">
        <v>0</v>
      </c>
      <c r="BC34" s="16">
        <v>0</v>
      </c>
      <c r="BD34" s="17"/>
    </row>
    <row r="35" spans="1:56" ht="12.75">
      <c r="A35" s="24" t="s">
        <v>211</v>
      </c>
      <c r="B35" s="13" t="s">
        <v>212</v>
      </c>
      <c r="C35" s="14">
        <v>340</v>
      </c>
      <c r="D35" s="15">
        <v>0.18888888888888888</v>
      </c>
      <c r="E35" s="14">
        <v>0</v>
      </c>
      <c r="F35" s="14">
        <v>38.693488888888886</v>
      </c>
      <c r="G35" s="14">
        <v>0</v>
      </c>
      <c r="H35" s="14">
        <v>0</v>
      </c>
      <c r="I35" s="14">
        <v>1.9346744732733405</v>
      </c>
      <c r="J35" s="14">
        <v>40.628163362162226</v>
      </c>
      <c r="K35" s="16"/>
      <c r="L35" s="17"/>
      <c r="N35" s="14">
        <v>120</v>
      </c>
      <c r="O35" s="15">
        <v>0.06666666666666667</v>
      </c>
      <c r="P35" s="14">
        <v>0</v>
      </c>
      <c r="Q35" s="14">
        <v>13.907422222222223</v>
      </c>
      <c r="R35" s="14">
        <v>0</v>
      </c>
      <c r="S35" s="14">
        <v>0</v>
      </c>
      <c r="T35" s="14">
        <v>0.6953711214729482</v>
      </c>
      <c r="U35" s="14">
        <v>14.602793343695172</v>
      </c>
      <c r="V35" s="16">
        <v>0.35942538710216543</v>
      </c>
      <c r="W35" s="17"/>
      <c r="Y35" s="14">
        <v>100</v>
      </c>
      <c r="Z35" s="15">
        <v>0.05555555555555555</v>
      </c>
      <c r="AA35" s="14">
        <v>0</v>
      </c>
      <c r="AB35" s="14">
        <v>11.4118</v>
      </c>
      <c r="AC35" s="14">
        <v>0</v>
      </c>
      <c r="AD35" s="14">
        <v>0</v>
      </c>
      <c r="AE35" s="14">
        <v>0.5705900085024536</v>
      </c>
      <c r="AF35" s="14">
        <v>11.982390008502453</v>
      </c>
      <c r="AG35" s="16">
        <v>0.29492817338777066</v>
      </c>
      <c r="AH35" s="17"/>
      <c r="AJ35" s="14">
        <v>80</v>
      </c>
      <c r="AK35" s="15">
        <v>0.044444444444444446</v>
      </c>
      <c r="AL35" s="14">
        <v>0</v>
      </c>
      <c r="AM35" s="14">
        <v>8.91617777777778</v>
      </c>
      <c r="AN35" s="14">
        <v>0</v>
      </c>
      <c r="AO35" s="14">
        <v>0</v>
      </c>
      <c r="AP35" s="14">
        <v>0.44580889553195907</v>
      </c>
      <c r="AQ35" s="14">
        <v>9.361986673309739</v>
      </c>
      <c r="AR35" s="16">
        <v>0.23043095967337607</v>
      </c>
      <c r="AS35" s="17"/>
      <c r="AU35" s="14">
        <v>40</v>
      </c>
      <c r="AV35" s="15">
        <v>0.022222222222222223</v>
      </c>
      <c r="AW35" s="14">
        <v>0</v>
      </c>
      <c r="AX35" s="14">
        <v>4.45808888888889</v>
      </c>
      <c r="AY35" s="14">
        <v>0</v>
      </c>
      <c r="AZ35" s="14">
        <v>0</v>
      </c>
      <c r="BA35" s="14">
        <v>0.22290444776597954</v>
      </c>
      <c r="BB35" s="14">
        <v>4.680993336654869</v>
      </c>
      <c r="BC35" s="16">
        <v>0.11521547983668803</v>
      </c>
      <c r="BD35" s="17"/>
    </row>
    <row r="36" spans="1:56" ht="12.75">
      <c r="A36" s="8">
        <v>4</v>
      </c>
      <c r="B36" s="9" t="s">
        <v>213</v>
      </c>
      <c r="C36" s="10"/>
      <c r="D36" s="10"/>
      <c r="E36" s="10"/>
      <c r="F36" s="10"/>
      <c r="G36" s="10"/>
      <c r="H36" s="10"/>
      <c r="I36" s="10"/>
      <c r="J36" s="10"/>
      <c r="K36" s="11">
        <v>0.3915179443614014</v>
      </c>
      <c r="L36" s="12">
        <v>16532.540182686374</v>
      </c>
      <c r="N36" s="10"/>
      <c r="O36" s="10"/>
      <c r="P36" s="10"/>
      <c r="Q36" s="10"/>
      <c r="R36" s="10"/>
      <c r="S36" s="10"/>
      <c r="T36" s="10"/>
      <c r="U36" s="10"/>
      <c r="V36" s="10"/>
      <c r="W36" s="12">
        <v>938.6864161688864</v>
      </c>
      <c r="Y36" s="10"/>
      <c r="Z36" s="10"/>
      <c r="AA36" s="10"/>
      <c r="AB36" s="10"/>
      <c r="AC36" s="10"/>
      <c r="AD36" s="10"/>
      <c r="AE36" s="10"/>
      <c r="AF36" s="10"/>
      <c r="AG36" s="10"/>
      <c r="AH36" s="12">
        <v>2820.094206410954</v>
      </c>
      <c r="AJ36" s="10"/>
      <c r="AK36" s="10"/>
      <c r="AL36" s="10"/>
      <c r="AM36" s="10"/>
      <c r="AN36" s="10"/>
      <c r="AO36" s="10"/>
      <c r="AP36" s="10"/>
      <c r="AQ36" s="10"/>
      <c r="AR36" s="10"/>
      <c r="AS36" s="12">
        <v>12770.250226770711</v>
      </c>
      <c r="AU36" s="10"/>
      <c r="AV36" s="10"/>
      <c r="AW36" s="10"/>
      <c r="AX36" s="10"/>
      <c r="AY36" s="10"/>
      <c r="AZ36" s="10"/>
      <c r="BA36" s="10"/>
      <c r="BB36" s="10"/>
      <c r="BC36" s="10"/>
      <c r="BD36" s="12">
        <v>3.5093333358234826</v>
      </c>
    </row>
    <row r="37" spans="1:55" ht="12.75">
      <c r="A37" s="13">
        <v>4.1</v>
      </c>
      <c r="B37" s="19" t="s">
        <v>214</v>
      </c>
      <c r="C37" s="14">
        <v>520</v>
      </c>
      <c r="D37" s="15">
        <v>0.28888888888888886</v>
      </c>
      <c r="E37" s="14">
        <v>0</v>
      </c>
      <c r="F37" s="14">
        <v>34.666511111111106</v>
      </c>
      <c r="G37" s="14">
        <v>618</v>
      </c>
      <c r="H37" s="14">
        <v>0</v>
      </c>
      <c r="I37" s="14">
        <v>116.2604271350016</v>
      </c>
      <c r="J37" s="14">
        <v>768.9269382461126</v>
      </c>
      <c r="K37" s="16"/>
      <c r="N37" s="14">
        <v>300</v>
      </c>
      <c r="O37" s="15">
        <v>0.16666666666666666</v>
      </c>
      <c r="P37" s="14">
        <v>0</v>
      </c>
      <c r="Q37" s="14">
        <v>21.777666666666665</v>
      </c>
      <c r="R37" s="14">
        <v>0</v>
      </c>
      <c r="S37" s="14">
        <v>0</v>
      </c>
      <c r="T37" s="14">
        <v>3.0488733463138336</v>
      </c>
      <c r="U37" s="14">
        <v>24.826540012980498</v>
      </c>
      <c r="V37" s="16">
        <v>0.03228725484583582</v>
      </c>
      <c r="Y37" s="14">
        <v>120</v>
      </c>
      <c r="Z37" s="15">
        <v>0.06666666666666667</v>
      </c>
      <c r="AA37" s="14">
        <v>0</v>
      </c>
      <c r="AB37" s="14">
        <v>8.711066666666666</v>
      </c>
      <c r="AC37" s="14">
        <v>0</v>
      </c>
      <c r="AD37" s="14">
        <v>0</v>
      </c>
      <c r="AE37" s="14">
        <v>1.2195493385255336</v>
      </c>
      <c r="AF37" s="14">
        <v>9.9306160051922</v>
      </c>
      <c r="AG37" s="16">
        <v>0.012914901938334326</v>
      </c>
      <c r="AJ37" s="14">
        <v>100</v>
      </c>
      <c r="AK37" s="15">
        <v>0.05555555555555555</v>
      </c>
      <c r="AL37" s="14">
        <v>0</v>
      </c>
      <c r="AM37" s="14">
        <v>4.177777777777778</v>
      </c>
      <c r="AN37" s="14">
        <v>618</v>
      </c>
      <c r="AO37" s="14">
        <v>0</v>
      </c>
      <c r="AP37" s="14">
        <v>111.99200445016224</v>
      </c>
      <c r="AQ37" s="14">
        <v>734.16978222794</v>
      </c>
      <c r="AR37" s="16">
        <v>0.9547978432158299</v>
      </c>
      <c r="AU37" s="14">
        <v>0</v>
      </c>
      <c r="AV37" s="15">
        <v>0</v>
      </c>
      <c r="AW37" s="14">
        <v>0</v>
      </c>
      <c r="AX37" s="14">
        <v>0</v>
      </c>
      <c r="AY37" s="14">
        <v>0</v>
      </c>
      <c r="AZ37" s="14">
        <v>0</v>
      </c>
      <c r="BA37" s="14">
        <v>0</v>
      </c>
      <c r="BB37" s="14">
        <v>0</v>
      </c>
      <c r="BC37" s="16">
        <v>0</v>
      </c>
    </row>
    <row r="38" spans="1:55" ht="12.75">
      <c r="A38" s="13">
        <v>4.2</v>
      </c>
      <c r="B38" s="19" t="s">
        <v>215</v>
      </c>
      <c r="K38" s="22"/>
      <c r="V38" s="22"/>
      <c r="AG38" s="22"/>
      <c r="AR38" s="22"/>
      <c r="BC38" s="22"/>
    </row>
    <row r="39" spans="1:55" ht="12.75">
      <c r="A39" s="23" t="s">
        <v>216</v>
      </c>
      <c r="B39" s="19" t="s">
        <v>217</v>
      </c>
      <c r="C39" s="14">
        <v>1920</v>
      </c>
      <c r="D39" s="15">
        <v>1.0666666666666667</v>
      </c>
      <c r="E39" s="14">
        <v>0</v>
      </c>
      <c r="F39" s="14">
        <v>104.86488888888888</v>
      </c>
      <c r="G39" s="14">
        <v>113.3</v>
      </c>
      <c r="H39" s="14">
        <v>0</v>
      </c>
      <c r="I39" s="14">
        <v>65.4494692673948</v>
      </c>
      <c r="J39" s="14">
        <v>283.6143581562837</v>
      </c>
      <c r="K39" s="16"/>
      <c r="N39" s="14">
        <v>160</v>
      </c>
      <c r="O39" s="15">
        <v>0.08888888888888889</v>
      </c>
      <c r="P39" s="14">
        <v>0</v>
      </c>
      <c r="Q39" s="14">
        <v>11.614755555555556</v>
      </c>
      <c r="R39" s="14">
        <v>0</v>
      </c>
      <c r="S39" s="14">
        <v>0</v>
      </c>
      <c r="T39" s="14">
        <v>3.4844268051253424</v>
      </c>
      <c r="U39" s="14">
        <v>15.0991823606809</v>
      </c>
      <c r="V39" s="16">
        <v>0.053238427203888605</v>
      </c>
      <c r="Y39" s="14">
        <v>480</v>
      </c>
      <c r="Z39" s="15">
        <v>0.26666666666666666</v>
      </c>
      <c r="AA39" s="14">
        <v>0</v>
      </c>
      <c r="AB39" s="14">
        <v>34.84426666666666</v>
      </c>
      <c r="AC39" s="14">
        <v>0</v>
      </c>
      <c r="AD39" s="14">
        <v>0</v>
      </c>
      <c r="AE39" s="14">
        <v>10.453280415376026</v>
      </c>
      <c r="AF39" s="14">
        <v>45.29754708204269</v>
      </c>
      <c r="AG39" s="16">
        <v>0.1597152816116658</v>
      </c>
      <c r="AJ39" s="14">
        <v>1280</v>
      </c>
      <c r="AK39" s="15">
        <v>0.7111111111111111</v>
      </c>
      <c r="AL39" s="14">
        <v>0</v>
      </c>
      <c r="AM39" s="14">
        <v>58.40586666666667</v>
      </c>
      <c r="AN39" s="14">
        <v>113.3</v>
      </c>
      <c r="AO39" s="14">
        <v>0</v>
      </c>
      <c r="AP39" s="14">
        <v>51.51176204689344</v>
      </c>
      <c r="AQ39" s="14">
        <v>223.21762871356012</v>
      </c>
      <c r="AR39" s="16">
        <v>0.7870462911844457</v>
      </c>
      <c r="AU39" s="14">
        <v>0</v>
      </c>
      <c r="AV39" s="15">
        <v>0</v>
      </c>
      <c r="AW39" s="14">
        <v>0</v>
      </c>
      <c r="AX39" s="14">
        <v>0</v>
      </c>
      <c r="AY39" s="14">
        <v>0</v>
      </c>
      <c r="AZ39" s="14">
        <v>0</v>
      </c>
      <c r="BA39" s="14">
        <v>0</v>
      </c>
      <c r="BB39" s="14">
        <v>0</v>
      </c>
      <c r="BC39" s="16">
        <v>0</v>
      </c>
    </row>
    <row r="40" spans="1:55" ht="12.75">
      <c r="A40" s="23" t="s">
        <v>218</v>
      </c>
      <c r="B40" s="19" t="s">
        <v>219</v>
      </c>
      <c r="C40" s="14">
        <v>740</v>
      </c>
      <c r="D40" s="15">
        <v>0.4111111111111111</v>
      </c>
      <c r="E40" s="14">
        <v>0</v>
      </c>
      <c r="F40" s="14">
        <v>44.47391111111111</v>
      </c>
      <c r="G40" s="14">
        <v>45.423</v>
      </c>
      <c r="H40" s="14">
        <v>0</v>
      </c>
      <c r="I40" s="14">
        <v>23.373196031565136</v>
      </c>
      <c r="J40" s="14">
        <v>113.27010714267624</v>
      </c>
      <c r="K40" s="16"/>
      <c r="N40" s="14">
        <v>120</v>
      </c>
      <c r="O40" s="15">
        <v>0.06666666666666667</v>
      </c>
      <c r="P40" s="14">
        <v>0</v>
      </c>
      <c r="Q40" s="14">
        <v>8.711066666666666</v>
      </c>
      <c r="R40" s="14">
        <v>0</v>
      </c>
      <c r="S40" s="14">
        <v>0</v>
      </c>
      <c r="T40" s="14">
        <v>2.264877250258128</v>
      </c>
      <c r="U40" s="14">
        <v>10.975943916924793</v>
      </c>
      <c r="V40" s="16">
        <v>0.09690062271327576</v>
      </c>
      <c r="Y40" s="14">
        <v>270</v>
      </c>
      <c r="Z40" s="15">
        <v>0.15</v>
      </c>
      <c r="AA40" s="14">
        <v>0</v>
      </c>
      <c r="AB40" s="14">
        <v>19.599899999999998</v>
      </c>
      <c r="AC40" s="14">
        <v>0</v>
      </c>
      <c r="AD40" s="14">
        <v>0</v>
      </c>
      <c r="AE40" s="14">
        <v>5.0959738130807875</v>
      </c>
      <c r="AF40" s="14">
        <v>24.695873813080787</v>
      </c>
      <c r="AG40" s="16">
        <v>0.2180264011048705</v>
      </c>
      <c r="AJ40" s="14">
        <v>350</v>
      </c>
      <c r="AK40" s="15">
        <v>0.19444444444444445</v>
      </c>
      <c r="AL40" s="14">
        <v>0</v>
      </c>
      <c r="AM40" s="14">
        <v>16.162944444444445</v>
      </c>
      <c r="AN40" s="14">
        <v>45.423</v>
      </c>
      <c r="AO40" s="14">
        <v>0</v>
      </c>
      <c r="AP40" s="14">
        <v>16.012344968226223</v>
      </c>
      <c r="AQ40" s="14">
        <v>77.59828941267068</v>
      </c>
      <c r="AR40" s="16">
        <v>0.6850729761818539</v>
      </c>
      <c r="AU40" s="14">
        <v>0</v>
      </c>
      <c r="AV40" s="15">
        <v>0</v>
      </c>
      <c r="AW40" s="14">
        <v>0</v>
      </c>
      <c r="AX40" s="14">
        <v>0</v>
      </c>
      <c r="AY40" s="14">
        <v>0</v>
      </c>
      <c r="AZ40" s="14">
        <v>0</v>
      </c>
      <c r="BA40" s="14">
        <v>0</v>
      </c>
      <c r="BB40" s="14">
        <v>0</v>
      </c>
      <c r="BC40" s="16">
        <v>0</v>
      </c>
    </row>
    <row r="41" spans="1:55" ht="12.75">
      <c r="A41" s="23" t="s">
        <v>220</v>
      </c>
      <c r="B41" s="19" t="s">
        <v>221</v>
      </c>
      <c r="C41" s="14">
        <v>6720</v>
      </c>
      <c r="D41" s="15">
        <v>3.7333333333333334</v>
      </c>
      <c r="E41" s="14">
        <v>0</v>
      </c>
      <c r="F41" s="14">
        <v>399.0741333333333</v>
      </c>
      <c r="G41" s="14">
        <v>265.74</v>
      </c>
      <c r="H41" s="14">
        <v>0</v>
      </c>
      <c r="I41" s="14">
        <v>199.44424792520203</v>
      </c>
      <c r="J41" s="14">
        <v>864.2583812585353</v>
      </c>
      <c r="K41" s="16"/>
      <c r="N41" s="14">
        <v>533</v>
      </c>
      <c r="O41" s="15">
        <v>0.2961111111111111</v>
      </c>
      <c r="P41" s="14">
        <v>0</v>
      </c>
      <c r="Q41" s="14">
        <v>38.691654444444445</v>
      </c>
      <c r="R41" s="14">
        <v>0</v>
      </c>
      <c r="S41" s="14">
        <v>0</v>
      </c>
      <c r="T41" s="14">
        <v>11.607496794573796</v>
      </c>
      <c r="U41" s="14">
        <v>50.299151239018244</v>
      </c>
      <c r="V41" s="16">
        <v>0.05819920561924142</v>
      </c>
      <c r="Y41" s="14">
        <v>2827</v>
      </c>
      <c r="Z41" s="15">
        <v>1.5705555555555555</v>
      </c>
      <c r="AA41" s="14">
        <v>0</v>
      </c>
      <c r="AB41" s="14">
        <v>205.2182122222222</v>
      </c>
      <c r="AC41" s="14">
        <v>0</v>
      </c>
      <c r="AD41" s="14">
        <v>0</v>
      </c>
      <c r="AE41" s="14">
        <v>61.56546611305839</v>
      </c>
      <c r="AF41" s="14">
        <v>266.78367833528057</v>
      </c>
      <c r="AG41" s="16">
        <v>0.3086850924682842</v>
      </c>
      <c r="AJ41" s="14">
        <v>3360</v>
      </c>
      <c r="AK41" s="15">
        <v>1.8666666666666667</v>
      </c>
      <c r="AL41" s="14">
        <v>0</v>
      </c>
      <c r="AM41" s="14">
        <v>155.16426666666666</v>
      </c>
      <c r="AN41" s="14">
        <v>265.74</v>
      </c>
      <c r="AO41" s="14">
        <v>0</v>
      </c>
      <c r="AP41" s="14">
        <v>126.27128501756985</v>
      </c>
      <c r="AQ41" s="14">
        <v>547.1755516842366</v>
      </c>
      <c r="AR41" s="16">
        <v>0.6331157019124745</v>
      </c>
      <c r="AU41" s="14">
        <v>0</v>
      </c>
      <c r="AV41" s="15">
        <v>0</v>
      </c>
      <c r="AW41" s="14">
        <v>0</v>
      </c>
      <c r="AX41" s="14">
        <v>0</v>
      </c>
      <c r="AY41" s="14">
        <v>0</v>
      </c>
      <c r="AZ41" s="14">
        <v>0</v>
      </c>
      <c r="BA41" s="14">
        <v>0</v>
      </c>
      <c r="BB41" s="14">
        <v>0</v>
      </c>
      <c r="BC41" s="16">
        <v>0</v>
      </c>
    </row>
    <row r="42" spans="1:55" ht="12.75">
      <c r="A42" s="23" t="s">
        <v>222</v>
      </c>
      <c r="B42" s="19" t="s">
        <v>223</v>
      </c>
      <c r="C42" s="14">
        <v>4640</v>
      </c>
      <c r="D42" s="15">
        <v>2.577777777777778</v>
      </c>
      <c r="E42" s="14">
        <v>0</v>
      </c>
      <c r="F42" s="14">
        <v>277.66417777777775</v>
      </c>
      <c r="G42" s="14">
        <v>271.92</v>
      </c>
      <c r="H42" s="14">
        <v>0</v>
      </c>
      <c r="I42" s="14">
        <v>164.87525988488724</v>
      </c>
      <c r="J42" s="14">
        <v>714.459437662665</v>
      </c>
      <c r="K42" s="16"/>
      <c r="N42" s="14">
        <v>400</v>
      </c>
      <c r="O42" s="15">
        <v>0.2222222222222222</v>
      </c>
      <c r="P42" s="14">
        <v>0</v>
      </c>
      <c r="Q42" s="14">
        <v>29.036888888888885</v>
      </c>
      <c r="R42" s="14">
        <v>0</v>
      </c>
      <c r="S42" s="14">
        <v>0</v>
      </c>
      <c r="T42" s="14">
        <v>8.711067012813356</v>
      </c>
      <c r="U42" s="14">
        <v>37.74795590170224</v>
      </c>
      <c r="V42" s="16">
        <v>0.052834288291010154</v>
      </c>
      <c r="Y42" s="14">
        <v>2000</v>
      </c>
      <c r="Z42" s="15">
        <v>1.1111111111111112</v>
      </c>
      <c r="AA42" s="14">
        <v>0</v>
      </c>
      <c r="AB42" s="14">
        <v>145.18444444444444</v>
      </c>
      <c r="AC42" s="14">
        <v>0</v>
      </c>
      <c r="AD42" s="14">
        <v>0</v>
      </c>
      <c r="AE42" s="14">
        <v>43.555335064066774</v>
      </c>
      <c r="AF42" s="14">
        <v>188.73977950851122</v>
      </c>
      <c r="AG42" s="16">
        <v>0.2641714414550508</v>
      </c>
      <c r="AJ42" s="14">
        <v>2240</v>
      </c>
      <c r="AK42" s="15">
        <v>1.2444444444444445</v>
      </c>
      <c r="AL42" s="14">
        <v>0</v>
      </c>
      <c r="AM42" s="14">
        <v>103.44284444444443</v>
      </c>
      <c r="AN42" s="14">
        <v>271.92</v>
      </c>
      <c r="AO42" s="14">
        <v>0</v>
      </c>
      <c r="AP42" s="14">
        <v>112.60885780800712</v>
      </c>
      <c r="AQ42" s="14">
        <v>487.97170225245156</v>
      </c>
      <c r="AR42" s="16">
        <v>0.6829942702539391</v>
      </c>
      <c r="AU42" s="14">
        <v>0</v>
      </c>
      <c r="AV42" s="15">
        <v>0</v>
      </c>
      <c r="AW42" s="14">
        <v>0</v>
      </c>
      <c r="AX42" s="14">
        <v>0</v>
      </c>
      <c r="AY42" s="14">
        <v>0</v>
      </c>
      <c r="AZ42" s="14">
        <v>0</v>
      </c>
      <c r="BA42" s="14">
        <v>0</v>
      </c>
      <c r="BB42" s="14">
        <v>0</v>
      </c>
      <c r="BC42" s="16">
        <v>0</v>
      </c>
    </row>
    <row r="43" spans="1:56" ht="12.75">
      <c r="A43" s="23" t="s">
        <v>224</v>
      </c>
      <c r="B43" s="13" t="s">
        <v>225</v>
      </c>
      <c r="C43" s="14">
        <v>7450</v>
      </c>
      <c r="D43" s="15">
        <v>4.138888888888889</v>
      </c>
      <c r="E43" s="14">
        <v>3</v>
      </c>
      <c r="F43" s="14">
        <v>494.7581444444445</v>
      </c>
      <c r="G43" s="14">
        <v>1618.24</v>
      </c>
      <c r="H43" s="14">
        <v>4.04690087890625</v>
      </c>
      <c r="I43" s="14">
        <v>905.4387047801686</v>
      </c>
      <c r="J43" s="14">
        <v>3022.48375010352</v>
      </c>
      <c r="K43" s="16"/>
      <c r="L43" s="17"/>
      <c r="N43" s="14">
        <v>1520</v>
      </c>
      <c r="O43" s="15">
        <v>0.8444444444444444</v>
      </c>
      <c r="P43" s="14">
        <v>0</v>
      </c>
      <c r="Q43" s="14">
        <v>111.36142222222222</v>
      </c>
      <c r="R43" s="14">
        <v>0</v>
      </c>
      <c r="S43" s="14">
        <v>0</v>
      </c>
      <c r="T43" s="14">
        <v>38.97649711401198</v>
      </c>
      <c r="U43" s="14">
        <v>150.3379193362342</v>
      </c>
      <c r="V43" s="16">
        <v>0.049739860249400886</v>
      </c>
      <c r="W43" s="17"/>
      <c r="Y43" s="14">
        <v>2480</v>
      </c>
      <c r="Z43" s="15">
        <v>1.3777777777777778</v>
      </c>
      <c r="AA43" s="14">
        <v>3</v>
      </c>
      <c r="AB43" s="14">
        <v>174.15955555555556</v>
      </c>
      <c r="AC43" s="14">
        <v>0</v>
      </c>
      <c r="AD43" s="14">
        <v>4.04690087890625</v>
      </c>
      <c r="AE43" s="14">
        <v>62.37225868986838</v>
      </c>
      <c r="AF43" s="14">
        <v>240.5787151243302</v>
      </c>
      <c r="AG43" s="16">
        <v>0.07959636345971766</v>
      </c>
      <c r="AH43" s="17"/>
      <c r="AJ43" s="14">
        <v>3450</v>
      </c>
      <c r="AK43" s="15">
        <v>1.9166666666666667</v>
      </c>
      <c r="AL43" s="14">
        <v>0</v>
      </c>
      <c r="AM43" s="14">
        <v>209.2371666666667</v>
      </c>
      <c r="AN43" s="14">
        <v>1618.24</v>
      </c>
      <c r="AO43" s="14">
        <v>0</v>
      </c>
      <c r="AP43" s="14">
        <v>804.0899489762883</v>
      </c>
      <c r="AQ43" s="14">
        <v>2631.5671156429553</v>
      </c>
      <c r="AR43" s="16">
        <v>0.8706637762908814</v>
      </c>
      <c r="AS43" s="17"/>
      <c r="AU43" s="14">
        <v>0</v>
      </c>
      <c r="AV43" s="15">
        <v>0</v>
      </c>
      <c r="AW43" s="14">
        <v>0</v>
      </c>
      <c r="AX43" s="14">
        <v>0</v>
      </c>
      <c r="AY43" s="14">
        <v>0</v>
      </c>
      <c r="AZ43" s="14">
        <v>0</v>
      </c>
      <c r="BA43" s="14">
        <v>0</v>
      </c>
      <c r="BB43" s="14">
        <v>0</v>
      </c>
      <c r="BC43" s="16">
        <v>0</v>
      </c>
      <c r="BD43" s="17"/>
    </row>
    <row r="44" spans="1:56" ht="12.75">
      <c r="A44" s="23" t="s">
        <v>226</v>
      </c>
      <c r="B44" s="13" t="s">
        <v>227</v>
      </c>
      <c r="C44" s="14">
        <v>3384</v>
      </c>
      <c r="D44" s="15">
        <v>1.88</v>
      </c>
      <c r="E44" s="14">
        <v>0</v>
      </c>
      <c r="F44" s="14">
        <v>193.81825111111112</v>
      </c>
      <c r="G44" s="14">
        <v>237.205</v>
      </c>
      <c r="H44" s="14">
        <v>0</v>
      </c>
      <c r="I44" s="14">
        <v>95.72072503267466</v>
      </c>
      <c r="J44" s="14">
        <v>526.7439761437857</v>
      </c>
      <c r="K44" s="16"/>
      <c r="L44" s="17"/>
      <c r="N44" s="14">
        <v>628</v>
      </c>
      <c r="O44" s="15">
        <v>0.3488888888888889</v>
      </c>
      <c r="P44" s="14">
        <v>0</v>
      </c>
      <c r="Q44" s="14">
        <v>35.401673333333335</v>
      </c>
      <c r="R44" s="14">
        <v>0</v>
      </c>
      <c r="S44" s="14">
        <v>0</v>
      </c>
      <c r="T44" s="14">
        <v>7.080334772171875</v>
      </c>
      <c r="U44" s="14">
        <v>42.48200810550521</v>
      </c>
      <c r="V44" s="16">
        <v>0.0806502020516868</v>
      </c>
      <c r="W44" s="17"/>
      <c r="Y44" s="14">
        <v>1812</v>
      </c>
      <c r="Z44" s="15">
        <v>1.0066666666666666</v>
      </c>
      <c r="AA44" s="14">
        <v>0</v>
      </c>
      <c r="AB44" s="14">
        <v>105.14645999999999</v>
      </c>
      <c r="AC44" s="14">
        <v>0</v>
      </c>
      <c r="AD44" s="14">
        <v>0</v>
      </c>
      <c r="AE44" s="14">
        <v>18.926363552066086</v>
      </c>
      <c r="AF44" s="14">
        <v>124.07282355206607</v>
      </c>
      <c r="AG44" s="16">
        <v>0.23554673460223455</v>
      </c>
      <c r="AH44" s="17"/>
      <c r="AJ44" s="14">
        <v>944</v>
      </c>
      <c r="AK44" s="15">
        <v>0.5244444444444445</v>
      </c>
      <c r="AL44" s="14">
        <v>0</v>
      </c>
      <c r="AM44" s="14">
        <v>53.27011777777778</v>
      </c>
      <c r="AN44" s="14">
        <v>237.205</v>
      </c>
      <c r="AO44" s="14">
        <v>0</v>
      </c>
      <c r="AP44" s="14">
        <v>69.7140267084367</v>
      </c>
      <c r="AQ44" s="14">
        <v>360.18914448621445</v>
      </c>
      <c r="AR44" s="16">
        <v>0.6838030633460787</v>
      </c>
      <c r="AS44" s="17"/>
      <c r="AU44" s="14">
        <v>0</v>
      </c>
      <c r="AV44" s="15">
        <v>0</v>
      </c>
      <c r="AW44" s="14">
        <v>0</v>
      </c>
      <c r="AX44" s="14">
        <v>0</v>
      </c>
      <c r="AY44" s="14">
        <v>0</v>
      </c>
      <c r="AZ44" s="14">
        <v>0</v>
      </c>
      <c r="BA44" s="14">
        <v>0</v>
      </c>
      <c r="BB44" s="14">
        <v>0</v>
      </c>
      <c r="BC44" s="16">
        <v>0</v>
      </c>
      <c r="BD44" s="17"/>
    </row>
    <row r="45" spans="1:56" ht="12.75">
      <c r="A45" s="23" t="s">
        <v>228</v>
      </c>
      <c r="B45" s="13" t="s">
        <v>229</v>
      </c>
      <c r="C45" s="14">
        <v>9520</v>
      </c>
      <c r="D45" s="15">
        <v>5.288888888888889</v>
      </c>
      <c r="E45" s="14">
        <v>5</v>
      </c>
      <c r="F45" s="14">
        <v>592.0716877777778</v>
      </c>
      <c r="G45" s="14">
        <v>1007.085</v>
      </c>
      <c r="H45" s="14">
        <v>4.594834716796875</v>
      </c>
      <c r="I45" s="14">
        <v>686.5274272787971</v>
      </c>
      <c r="J45" s="14">
        <v>2290.2789497733716</v>
      </c>
      <c r="K45" s="16"/>
      <c r="L45" s="17"/>
      <c r="N45" s="14">
        <v>1596</v>
      </c>
      <c r="O45" s="15">
        <v>0.8866666666666667</v>
      </c>
      <c r="P45" s="14">
        <v>2</v>
      </c>
      <c r="Q45" s="14">
        <v>108.2724</v>
      </c>
      <c r="R45" s="14">
        <v>0</v>
      </c>
      <c r="S45" s="14">
        <v>1.837933837890625</v>
      </c>
      <c r="T45" s="14">
        <v>42.94302862163639</v>
      </c>
      <c r="U45" s="14">
        <v>153.05336245952702</v>
      </c>
      <c r="V45" s="16">
        <v>0.06682738907182988</v>
      </c>
      <c r="W45" s="17"/>
      <c r="Y45" s="14">
        <v>4220</v>
      </c>
      <c r="Z45" s="15">
        <v>2.3444444444444446</v>
      </c>
      <c r="AA45" s="14">
        <v>3</v>
      </c>
      <c r="AB45" s="14">
        <v>269.59745000000004</v>
      </c>
      <c r="AC45" s="14">
        <v>0</v>
      </c>
      <c r="AD45" s="14">
        <v>2.75690087890625</v>
      </c>
      <c r="AE45" s="14">
        <v>106.2181929467132</v>
      </c>
      <c r="AF45" s="14">
        <v>378.5725438256195</v>
      </c>
      <c r="AG45" s="16">
        <v>0.1652953863384546</v>
      </c>
      <c r="AH45" s="17"/>
      <c r="AJ45" s="14">
        <v>3704</v>
      </c>
      <c r="AK45" s="15">
        <v>2.057777777777778</v>
      </c>
      <c r="AL45" s="14">
        <v>0</v>
      </c>
      <c r="AM45" s="14">
        <v>214.20183777777777</v>
      </c>
      <c r="AN45" s="14">
        <v>1007.085</v>
      </c>
      <c r="AO45" s="14">
        <v>0</v>
      </c>
      <c r="AP45" s="14">
        <v>537.3662057104475</v>
      </c>
      <c r="AQ45" s="14">
        <v>1758.6530434882252</v>
      </c>
      <c r="AR45" s="16">
        <v>0.7678772245897156</v>
      </c>
      <c r="AS45" s="17"/>
      <c r="AU45" s="14">
        <v>0</v>
      </c>
      <c r="AV45" s="15">
        <v>0</v>
      </c>
      <c r="AW45" s="14">
        <v>0</v>
      </c>
      <c r="AX45" s="14">
        <v>0</v>
      </c>
      <c r="AY45" s="14">
        <v>0</v>
      </c>
      <c r="AZ45" s="14">
        <v>0</v>
      </c>
      <c r="BA45" s="14">
        <v>0</v>
      </c>
      <c r="BB45" s="14">
        <v>0</v>
      </c>
      <c r="BC45" s="16">
        <v>0</v>
      </c>
      <c r="BD45" s="17"/>
    </row>
    <row r="46" spans="1:55" ht="12.75">
      <c r="A46" s="23" t="s">
        <v>230</v>
      </c>
      <c r="B46" s="19" t="s">
        <v>231</v>
      </c>
      <c r="C46" s="14">
        <v>3180</v>
      </c>
      <c r="D46" s="15">
        <v>1.7666666666666666</v>
      </c>
      <c r="E46" s="14">
        <v>0</v>
      </c>
      <c r="F46" s="14">
        <v>209.88944444444442</v>
      </c>
      <c r="G46" s="14">
        <v>51.5</v>
      </c>
      <c r="H46" s="14">
        <v>0</v>
      </c>
      <c r="I46" s="14">
        <v>57.788818187363276</v>
      </c>
      <c r="J46" s="14">
        <v>319.1782626318077</v>
      </c>
      <c r="K46" s="16"/>
      <c r="N46" s="14">
        <v>80</v>
      </c>
      <c r="O46" s="15">
        <v>0.044444444444444446</v>
      </c>
      <c r="P46" s="14">
        <v>0</v>
      </c>
      <c r="Q46" s="14">
        <v>5.807377777777778</v>
      </c>
      <c r="R46" s="14">
        <v>0</v>
      </c>
      <c r="S46" s="14">
        <v>0</v>
      </c>
      <c r="T46" s="14">
        <v>0.580737786431445</v>
      </c>
      <c r="U46" s="14">
        <v>6.388115564209223</v>
      </c>
      <c r="V46" s="16">
        <v>0.02001425633292051</v>
      </c>
      <c r="Y46" s="14">
        <v>1100</v>
      </c>
      <c r="Z46" s="15">
        <v>0.6111111111111112</v>
      </c>
      <c r="AA46" s="14">
        <v>0</v>
      </c>
      <c r="AB46" s="14">
        <v>74.30484444444444</v>
      </c>
      <c r="AC46" s="14">
        <v>0</v>
      </c>
      <c r="AD46" s="14">
        <v>0</v>
      </c>
      <c r="AE46" s="14">
        <v>11.888774845376279</v>
      </c>
      <c r="AF46" s="14">
        <v>86.19361928982072</v>
      </c>
      <c r="AG46" s="16">
        <v>0.27004852579591393</v>
      </c>
      <c r="AJ46" s="14">
        <v>2000</v>
      </c>
      <c r="AK46" s="15">
        <v>1.1111111111111112</v>
      </c>
      <c r="AL46" s="14">
        <v>0</v>
      </c>
      <c r="AM46" s="14">
        <v>129.7772222222222</v>
      </c>
      <c r="AN46" s="14">
        <v>51.5</v>
      </c>
      <c r="AO46" s="14">
        <v>0</v>
      </c>
      <c r="AP46" s="14">
        <v>45.31930555555555</v>
      </c>
      <c r="AQ46" s="14">
        <v>226.59652777777777</v>
      </c>
      <c r="AR46" s="16">
        <v>0.7099372178711656</v>
      </c>
      <c r="AU46" s="14">
        <v>0</v>
      </c>
      <c r="AV46" s="15">
        <v>0</v>
      </c>
      <c r="AW46" s="14">
        <v>0</v>
      </c>
      <c r="AX46" s="14">
        <v>0</v>
      </c>
      <c r="AY46" s="14">
        <v>0</v>
      </c>
      <c r="AZ46" s="14">
        <v>0</v>
      </c>
      <c r="BA46" s="14">
        <v>0</v>
      </c>
      <c r="BB46" s="14">
        <v>0</v>
      </c>
      <c r="BC46" s="16">
        <v>0</v>
      </c>
    </row>
    <row r="47" spans="1:55" ht="12.75">
      <c r="A47" s="23" t="s">
        <v>232</v>
      </c>
      <c r="B47" s="13" t="s">
        <v>233</v>
      </c>
      <c r="C47" s="14">
        <v>577.5</v>
      </c>
      <c r="D47" s="15">
        <v>0.32083333333333336</v>
      </c>
      <c r="E47" s="14">
        <v>0</v>
      </c>
      <c r="F47" s="14">
        <v>37.61417083333333</v>
      </c>
      <c r="G47" s="14">
        <v>69.3311</v>
      </c>
      <c r="H47" s="14">
        <v>0</v>
      </c>
      <c r="I47" s="14">
        <v>17.11124295086724</v>
      </c>
      <c r="J47" s="14">
        <v>124.05651378420058</v>
      </c>
      <c r="K47" s="16"/>
      <c r="N47" s="14">
        <v>127.5</v>
      </c>
      <c r="O47" s="15">
        <v>0.07083333333333333</v>
      </c>
      <c r="P47" s="14">
        <v>0</v>
      </c>
      <c r="Q47" s="14">
        <v>8.884649999999999</v>
      </c>
      <c r="R47" s="14">
        <v>0</v>
      </c>
      <c r="S47" s="14">
        <v>0</v>
      </c>
      <c r="T47" s="14">
        <v>1.4215439682260156</v>
      </c>
      <c r="U47" s="14">
        <v>10.306193968226015</v>
      </c>
      <c r="V47" s="16">
        <v>0.08307660479766422</v>
      </c>
      <c r="Y47" s="14">
        <v>187.5</v>
      </c>
      <c r="Z47" s="15">
        <v>0.10416666666666667</v>
      </c>
      <c r="AA47" s="14">
        <v>0</v>
      </c>
      <c r="AB47" s="14">
        <v>12.683895833333333</v>
      </c>
      <c r="AC47" s="14">
        <v>0</v>
      </c>
      <c r="AD47" s="14">
        <v>0</v>
      </c>
      <c r="AE47" s="14">
        <v>2.0294232879721865</v>
      </c>
      <c r="AF47" s="14">
        <v>14.713319121305519</v>
      </c>
      <c r="AG47" s="16">
        <v>0.11860174586962606</v>
      </c>
      <c r="AJ47" s="14">
        <v>262.5</v>
      </c>
      <c r="AK47" s="15">
        <v>0.14583333333333334</v>
      </c>
      <c r="AL47" s="14">
        <v>0</v>
      </c>
      <c r="AM47" s="14">
        <v>16.045625</v>
      </c>
      <c r="AN47" s="14">
        <v>69.3311</v>
      </c>
      <c r="AO47" s="14">
        <v>0</v>
      </c>
      <c r="AP47" s="14">
        <v>13.66027569466904</v>
      </c>
      <c r="AQ47" s="14">
        <v>99.03700069466905</v>
      </c>
      <c r="AR47" s="16">
        <v>0.7983216493327098</v>
      </c>
      <c r="AU47" s="14">
        <v>0</v>
      </c>
      <c r="AV47" s="15">
        <v>0</v>
      </c>
      <c r="AW47" s="14">
        <v>0</v>
      </c>
      <c r="AX47" s="14">
        <v>0</v>
      </c>
      <c r="AY47" s="14">
        <v>0</v>
      </c>
      <c r="AZ47" s="14">
        <v>0</v>
      </c>
      <c r="BA47" s="14">
        <v>0</v>
      </c>
      <c r="BB47" s="14">
        <v>0</v>
      </c>
      <c r="BC47" s="16">
        <v>0</v>
      </c>
    </row>
    <row r="48" spans="1:55" ht="12.75">
      <c r="A48" s="23" t="s">
        <v>234</v>
      </c>
      <c r="B48" s="19" t="s">
        <v>235</v>
      </c>
      <c r="C48" s="14">
        <v>2240</v>
      </c>
      <c r="D48" s="15">
        <v>1.2444444444444445</v>
      </c>
      <c r="E48" s="14">
        <v>0</v>
      </c>
      <c r="F48" s="14">
        <v>128.0944</v>
      </c>
      <c r="G48" s="14">
        <v>41.2</v>
      </c>
      <c r="H48" s="14">
        <v>0</v>
      </c>
      <c r="I48" s="14">
        <v>44.016542385482786</v>
      </c>
      <c r="J48" s="14">
        <v>213.31094238548278</v>
      </c>
      <c r="K48" s="16"/>
      <c r="N48" s="14">
        <v>240</v>
      </c>
      <c r="O48" s="15">
        <v>0.13333333333333333</v>
      </c>
      <c r="P48" s="14">
        <v>0</v>
      </c>
      <c r="Q48" s="14">
        <v>17.42213333333333</v>
      </c>
      <c r="R48" s="14">
        <v>0</v>
      </c>
      <c r="S48" s="14">
        <v>0</v>
      </c>
      <c r="T48" s="14">
        <v>4.529754500516256</v>
      </c>
      <c r="U48" s="14">
        <v>21.951887833849586</v>
      </c>
      <c r="V48" s="16">
        <v>0.10291027543340672</v>
      </c>
      <c r="Y48" s="14">
        <v>720</v>
      </c>
      <c r="Z48" s="15">
        <v>0.4</v>
      </c>
      <c r="AA48" s="14">
        <v>0</v>
      </c>
      <c r="AB48" s="14">
        <v>52.2664</v>
      </c>
      <c r="AC48" s="14">
        <v>0</v>
      </c>
      <c r="AD48" s="14">
        <v>0</v>
      </c>
      <c r="AE48" s="14">
        <v>13.589263501548764</v>
      </c>
      <c r="AF48" s="14">
        <v>65.85566350154876</v>
      </c>
      <c r="AG48" s="16">
        <v>0.3087308263002202</v>
      </c>
      <c r="AJ48" s="14">
        <v>1280</v>
      </c>
      <c r="AK48" s="15">
        <v>0.7111111111111111</v>
      </c>
      <c r="AL48" s="14">
        <v>0</v>
      </c>
      <c r="AM48" s="14">
        <v>58.40586666666667</v>
      </c>
      <c r="AN48" s="14">
        <v>41.2</v>
      </c>
      <c r="AO48" s="14">
        <v>0</v>
      </c>
      <c r="AP48" s="14">
        <v>25.897524383417768</v>
      </c>
      <c r="AQ48" s="14">
        <v>125.50339105008445</v>
      </c>
      <c r="AR48" s="16">
        <v>0.5883588982663731</v>
      </c>
      <c r="AU48" s="14">
        <v>0</v>
      </c>
      <c r="AV48" s="15">
        <v>0</v>
      </c>
      <c r="AW48" s="14">
        <v>0</v>
      </c>
      <c r="AX48" s="14">
        <v>0</v>
      </c>
      <c r="AY48" s="14">
        <v>0</v>
      </c>
      <c r="AZ48" s="14">
        <v>0</v>
      </c>
      <c r="BA48" s="14">
        <v>0</v>
      </c>
      <c r="BB48" s="14">
        <v>0</v>
      </c>
      <c r="BC48" s="16">
        <v>0</v>
      </c>
    </row>
    <row r="49" spans="1:55" ht="12.75">
      <c r="A49" s="23">
        <v>4.3</v>
      </c>
      <c r="B49" s="19" t="s">
        <v>236</v>
      </c>
      <c r="K49" s="22"/>
      <c r="V49" s="22"/>
      <c r="AG49" s="22"/>
      <c r="AR49" s="22"/>
      <c r="BC49" s="22"/>
    </row>
    <row r="50" spans="1:55" ht="12.75">
      <c r="A50" s="23" t="s">
        <v>237</v>
      </c>
      <c r="B50" s="19" t="s">
        <v>238</v>
      </c>
      <c r="C50" s="14">
        <v>1865</v>
      </c>
      <c r="D50" s="15">
        <v>1.0361111111111112</v>
      </c>
      <c r="E50" s="14">
        <v>2</v>
      </c>
      <c r="F50" s="14">
        <v>137.73645</v>
      </c>
      <c r="G50" s="14">
        <v>134.9</v>
      </c>
      <c r="H50" s="14">
        <v>9.693470703125</v>
      </c>
      <c r="I50" s="14">
        <v>42.349489788286206</v>
      </c>
      <c r="J50" s="14">
        <v>324.6794104914112</v>
      </c>
      <c r="K50" s="22"/>
      <c r="N50" s="14">
        <v>250</v>
      </c>
      <c r="O50" s="15">
        <v>0.1388888888888889</v>
      </c>
      <c r="P50" s="14">
        <v>0</v>
      </c>
      <c r="Q50" s="14">
        <v>19.17737222222222</v>
      </c>
      <c r="R50" s="14">
        <v>0</v>
      </c>
      <c r="S50" s="14">
        <v>0</v>
      </c>
      <c r="T50" s="14">
        <v>2.876605947639379</v>
      </c>
      <c r="U50" s="14">
        <v>22.0539781698616</v>
      </c>
      <c r="V50" s="16">
        <v>0.06792539796866792</v>
      </c>
      <c r="Y50" s="14">
        <v>870</v>
      </c>
      <c r="Z50" s="15">
        <v>0.48333333333333334</v>
      </c>
      <c r="AA50" s="14">
        <v>0</v>
      </c>
      <c r="AB50" s="14">
        <v>64.75975</v>
      </c>
      <c r="AC50" s="14">
        <v>0</v>
      </c>
      <c r="AD50" s="14">
        <v>0</v>
      </c>
      <c r="AE50" s="14">
        <v>9.713962885998189</v>
      </c>
      <c r="AF50" s="14">
        <v>74.47371288599818</v>
      </c>
      <c r="AG50" s="16">
        <v>0.22937614914749344</v>
      </c>
      <c r="AJ50" s="14">
        <v>745</v>
      </c>
      <c r="AK50" s="15">
        <v>0.41388888888888886</v>
      </c>
      <c r="AL50" s="14">
        <v>2</v>
      </c>
      <c r="AM50" s="14">
        <v>53.799327777777776</v>
      </c>
      <c r="AN50" s="14">
        <v>134.9</v>
      </c>
      <c r="AO50" s="14">
        <v>9.693470703125</v>
      </c>
      <c r="AP50" s="14">
        <v>29.75892095464864</v>
      </c>
      <c r="AQ50" s="14">
        <v>228.15171943555143</v>
      </c>
      <c r="AR50" s="16">
        <v>0.7026984528838387</v>
      </c>
      <c r="AU50" s="14">
        <v>0</v>
      </c>
      <c r="AV50" s="15">
        <v>0</v>
      </c>
      <c r="AW50" s="14">
        <v>0</v>
      </c>
      <c r="AX50" s="14">
        <v>0</v>
      </c>
      <c r="AY50" s="14">
        <v>0</v>
      </c>
      <c r="AZ50" s="14">
        <v>0</v>
      </c>
      <c r="BA50" s="14">
        <v>0</v>
      </c>
      <c r="BB50" s="14">
        <v>0</v>
      </c>
      <c r="BC50" s="16">
        <v>0</v>
      </c>
    </row>
    <row r="51" spans="1:55" ht="12.75">
      <c r="A51" s="23" t="s">
        <v>239</v>
      </c>
      <c r="B51" s="19" t="s">
        <v>240</v>
      </c>
      <c r="C51" s="14">
        <v>1695</v>
      </c>
      <c r="D51" s="15">
        <v>0.9416666666666667</v>
      </c>
      <c r="E51" s="14">
        <v>2</v>
      </c>
      <c r="F51" s="14">
        <v>125.04949444444443</v>
      </c>
      <c r="G51" s="14">
        <v>1</v>
      </c>
      <c r="H51" s="14">
        <v>9.693470703125</v>
      </c>
      <c r="I51" s="14">
        <v>20.36144558122654</v>
      </c>
      <c r="J51" s="14">
        <v>156.10441072879598</v>
      </c>
      <c r="K51" s="22"/>
      <c r="N51" s="14">
        <v>255</v>
      </c>
      <c r="O51" s="15">
        <v>0.14166666666666666</v>
      </c>
      <c r="P51" s="14">
        <v>0</v>
      </c>
      <c r="Q51" s="14">
        <v>19.66798888888889</v>
      </c>
      <c r="R51" s="14">
        <v>0</v>
      </c>
      <c r="S51" s="14">
        <v>0</v>
      </c>
      <c r="T51" s="14">
        <v>2.9501984505636822</v>
      </c>
      <c r="U51" s="14">
        <v>22.61818733945257</v>
      </c>
      <c r="V51" s="16">
        <v>0.14489140463012093</v>
      </c>
      <c r="Y51" s="14">
        <v>850</v>
      </c>
      <c r="Z51" s="15">
        <v>0.4722222222222222</v>
      </c>
      <c r="AA51" s="14">
        <v>0</v>
      </c>
      <c r="AB51" s="14">
        <v>63.80238333333333</v>
      </c>
      <c r="AC51" s="14">
        <v>0</v>
      </c>
      <c r="AD51" s="14">
        <v>0</v>
      </c>
      <c r="AE51" s="14">
        <v>9.57035788029184</v>
      </c>
      <c r="AF51" s="14">
        <v>73.37274121362518</v>
      </c>
      <c r="AG51" s="16">
        <v>0.4700234981899226</v>
      </c>
      <c r="AJ51" s="14">
        <v>590</v>
      </c>
      <c r="AK51" s="15">
        <v>0.3277777777777778</v>
      </c>
      <c r="AL51" s="14">
        <v>2</v>
      </c>
      <c r="AM51" s="14">
        <v>41.57912222222221</v>
      </c>
      <c r="AN51" s="14">
        <v>1</v>
      </c>
      <c r="AO51" s="14">
        <v>9.693470703125</v>
      </c>
      <c r="AP51" s="14">
        <v>7.840889250371015</v>
      </c>
      <c r="AQ51" s="14">
        <v>60.113482175718225</v>
      </c>
      <c r="AR51" s="16">
        <v>0.38508509717995637</v>
      </c>
      <c r="AU51" s="14">
        <v>0</v>
      </c>
      <c r="AV51" s="15">
        <v>0</v>
      </c>
      <c r="AW51" s="14">
        <v>0</v>
      </c>
      <c r="AX51" s="14">
        <v>0</v>
      </c>
      <c r="AY51" s="14">
        <v>0</v>
      </c>
      <c r="AZ51" s="14">
        <v>0</v>
      </c>
      <c r="BA51" s="14">
        <v>0</v>
      </c>
      <c r="BB51" s="14">
        <v>0</v>
      </c>
      <c r="BC51" s="16">
        <v>0</v>
      </c>
    </row>
    <row r="52" spans="1:55" ht="12.75">
      <c r="A52" s="23" t="s">
        <v>241</v>
      </c>
      <c r="B52" s="19" t="s">
        <v>242</v>
      </c>
      <c r="C52" s="14">
        <v>0</v>
      </c>
      <c r="D52" s="15">
        <v>0</v>
      </c>
      <c r="E52" s="14">
        <v>0</v>
      </c>
      <c r="F52" s="14">
        <v>0</v>
      </c>
      <c r="G52" s="14">
        <v>0</v>
      </c>
      <c r="H52" s="14">
        <v>0</v>
      </c>
      <c r="I52" s="14">
        <v>0</v>
      </c>
      <c r="J52" s="14">
        <v>0</v>
      </c>
      <c r="K52" s="22"/>
      <c r="N52" s="14">
        <v>0</v>
      </c>
      <c r="O52" s="15">
        <v>0</v>
      </c>
      <c r="P52" s="14">
        <v>0</v>
      </c>
      <c r="Q52" s="14">
        <v>0</v>
      </c>
      <c r="R52" s="14">
        <v>0</v>
      </c>
      <c r="S52" s="14">
        <v>0</v>
      </c>
      <c r="T52" s="14">
        <v>0</v>
      </c>
      <c r="U52" s="14">
        <v>0</v>
      </c>
      <c r="V52" s="16">
        <v>0</v>
      </c>
      <c r="Y52" s="14">
        <v>0</v>
      </c>
      <c r="Z52" s="15">
        <v>0</v>
      </c>
      <c r="AA52" s="14">
        <v>0</v>
      </c>
      <c r="AB52" s="14">
        <v>0</v>
      </c>
      <c r="AC52" s="14">
        <v>0</v>
      </c>
      <c r="AD52" s="14">
        <v>0</v>
      </c>
      <c r="AE52" s="14">
        <v>0</v>
      </c>
      <c r="AF52" s="14">
        <v>0</v>
      </c>
      <c r="AG52" s="16">
        <v>0</v>
      </c>
      <c r="AJ52" s="14">
        <v>0</v>
      </c>
      <c r="AK52" s="15">
        <v>0</v>
      </c>
      <c r="AL52" s="14">
        <v>0</v>
      </c>
      <c r="AM52" s="14">
        <v>0</v>
      </c>
      <c r="AN52" s="14">
        <v>0</v>
      </c>
      <c r="AO52" s="14">
        <v>0</v>
      </c>
      <c r="AP52" s="14">
        <v>0</v>
      </c>
      <c r="AQ52" s="14">
        <v>0</v>
      </c>
      <c r="AR52" s="16">
        <v>0</v>
      </c>
      <c r="AU52" s="14">
        <v>0</v>
      </c>
      <c r="AV52" s="15">
        <v>0</v>
      </c>
      <c r="AW52" s="14">
        <v>0</v>
      </c>
      <c r="AX52" s="14">
        <v>0</v>
      </c>
      <c r="AY52" s="14">
        <v>0</v>
      </c>
      <c r="AZ52" s="14">
        <v>0</v>
      </c>
      <c r="BA52" s="14">
        <v>0</v>
      </c>
      <c r="BB52" s="14">
        <v>0</v>
      </c>
      <c r="BC52" s="16">
        <v>0</v>
      </c>
    </row>
    <row r="53" spans="1:55" ht="12.75">
      <c r="A53" s="23">
        <v>4.4</v>
      </c>
      <c r="B53" s="19" t="s">
        <v>243</v>
      </c>
      <c r="K53" s="22"/>
      <c r="V53" s="22"/>
      <c r="AG53" s="22"/>
      <c r="AR53" s="22"/>
      <c r="BC53" s="22"/>
    </row>
    <row r="54" spans="1:55" ht="12.75">
      <c r="A54" s="23" t="s">
        <v>244</v>
      </c>
      <c r="B54" s="19" t="s">
        <v>245</v>
      </c>
      <c r="C54" s="14">
        <v>180</v>
      </c>
      <c r="D54" s="15">
        <v>0.1</v>
      </c>
      <c r="E54" s="14">
        <v>0</v>
      </c>
      <c r="F54" s="14">
        <v>16.152866666666668</v>
      </c>
      <c r="G54" s="14">
        <v>0</v>
      </c>
      <c r="H54" s="14">
        <v>0</v>
      </c>
      <c r="I54" s="14">
        <v>5.168917217799027</v>
      </c>
      <c r="J54" s="14">
        <v>21.321783884465695</v>
      </c>
      <c r="K54" s="22"/>
      <c r="N54" s="14">
        <v>0</v>
      </c>
      <c r="O54" s="15">
        <v>0</v>
      </c>
      <c r="P54" s="14">
        <v>0</v>
      </c>
      <c r="Q54" s="14">
        <v>0</v>
      </c>
      <c r="R54" s="14">
        <v>0</v>
      </c>
      <c r="S54" s="14">
        <v>0</v>
      </c>
      <c r="T54" s="14">
        <v>0</v>
      </c>
      <c r="U54" s="14">
        <v>0</v>
      </c>
      <c r="V54" s="16">
        <v>0</v>
      </c>
      <c r="Y54" s="14">
        <v>140</v>
      </c>
      <c r="Z54" s="15">
        <v>0.07777777777777778</v>
      </c>
      <c r="AA54" s="14">
        <v>0</v>
      </c>
      <c r="AB54" s="14">
        <v>12.738555555555555</v>
      </c>
      <c r="AC54" s="14">
        <v>0</v>
      </c>
      <c r="AD54" s="14">
        <v>0</v>
      </c>
      <c r="AE54" s="14">
        <v>4.0763376866645284</v>
      </c>
      <c r="AF54" s="14">
        <v>16.814893242220084</v>
      </c>
      <c r="AG54" s="16">
        <v>0.7886250668955905</v>
      </c>
      <c r="AJ54" s="14">
        <v>40</v>
      </c>
      <c r="AK54" s="15">
        <v>0.022222222222222223</v>
      </c>
      <c r="AL54" s="14">
        <v>0</v>
      </c>
      <c r="AM54" s="14">
        <v>3.414311111111111</v>
      </c>
      <c r="AN54" s="14">
        <v>0</v>
      </c>
      <c r="AO54" s="14">
        <v>0</v>
      </c>
      <c r="AP54" s="14">
        <v>1.0925795311344992</v>
      </c>
      <c r="AQ54" s="14">
        <v>4.50689064224561</v>
      </c>
      <c r="AR54" s="16">
        <v>0.21137493310440936</v>
      </c>
      <c r="AU54" s="14">
        <v>0</v>
      </c>
      <c r="AV54" s="15">
        <v>0</v>
      </c>
      <c r="AW54" s="14">
        <v>0</v>
      </c>
      <c r="AX54" s="14">
        <v>0</v>
      </c>
      <c r="AY54" s="14">
        <v>0</v>
      </c>
      <c r="AZ54" s="14">
        <v>0</v>
      </c>
      <c r="BA54" s="14">
        <v>0</v>
      </c>
      <c r="BB54" s="14">
        <v>0</v>
      </c>
      <c r="BC54" s="16">
        <v>0</v>
      </c>
    </row>
    <row r="55" spans="1:55" ht="12.75">
      <c r="A55" s="23" t="s">
        <v>246</v>
      </c>
      <c r="B55" s="19" t="s">
        <v>247</v>
      </c>
      <c r="C55" s="14">
        <v>980</v>
      </c>
      <c r="D55" s="15">
        <v>0.5444444444444444</v>
      </c>
      <c r="E55" s="14">
        <v>0</v>
      </c>
      <c r="F55" s="14">
        <v>77.77846666666667</v>
      </c>
      <c r="G55" s="14">
        <v>0</v>
      </c>
      <c r="H55" s="14">
        <v>0</v>
      </c>
      <c r="I55" s="14">
        <v>24.889108777018386</v>
      </c>
      <c r="J55" s="14">
        <v>102.66757544368505</v>
      </c>
      <c r="K55" s="22"/>
      <c r="N55" s="14">
        <v>140</v>
      </c>
      <c r="O55" s="15">
        <v>0.07777777777777778</v>
      </c>
      <c r="P55" s="14">
        <v>0</v>
      </c>
      <c r="Q55" s="14">
        <v>11.567122222222222</v>
      </c>
      <c r="R55" s="14">
        <v>0</v>
      </c>
      <c r="S55" s="14">
        <v>0</v>
      </c>
      <c r="T55" s="14">
        <v>3.7014790283766055</v>
      </c>
      <c r="U55" s="14">
        <v>15.268601250598827</v>
      </c>
      <c r="V55" s="16">
        <v>0.14871882563325867</v>
      </c>
      <c r="Y55" s="14">
        <v>420</v>
      </c>
      <c r="Z55" s="15">
        <v>0.23333333333333334</v>
      </c>
      <c r="AA55" s="14">
        <v>0</v>
      </c>
      <c r="AB55" s="14">
        <v>33.1695</v>
      </c>
      <c r="AC55" s="14">
        <v>0</v>
      </c>
      <c r="AD55" s="14">
        <v>0</v>
      </c>
      <c r="AE55" s="14">
        <v>10.614239762753249</v>
      </c>
      <c r="AF55" s="14">
        <v>43.78373976275325</v>
      </c>
      <c r="AG55" s="16">
        <v>0.4264612227720269</v>
      </c>
      <c r="AJ55" s="14">
        <v>420</v>
      </c>
      <c r="AK55" s="15">
        <v>0.23333333333333334</v>
      </c>
      <c r="AL55" s="14">
        <v>0</v>
      </c>
      <c r="AM55" s="14">
        <v>33.04184444444444</v>
      </c>
      <c r="AN55" s="14">
        <v>0</v>
      </c>
      <c r="AO55" s="14">
        <v>0</v>
      </c>
      <c r="AP55" s="14">
        <v>10.573389985888534</v>
      </c>
      <c r="AQ55" s="14">
        <v>43.615234430332976</v>
      </c>
      <c r="AR55" s="16">
        <v>0.4248199515947144</v>
      </c>
      <c r="AU55" s="14">
        <v>0</v>
      </c>
      <c r="AV55" s="15">
        <v>0</v>
      </c>
      <c r="AW55" s="14">
        <v>0</v>
      </c>
      <c r="AX55" s="14">
        <v>0</v>
      </c>
      <c r="AY55" s="14">
        <v>0</v>
      </c>
      <c r="AZ55" s="14">
        <v>0</v>
      </c>
      <c r="BA55" s="14">
        <v>0</v>
      </c>
      <c r="BB55" s="14">
        <v>0</v>
      </c>
      <c r="BC55" s="16">
        <v>0</v>
      </c>
    </row>
    <row r="56" spans="1:55" ht="12.75">
      <c r="A56" s="23" t="s">
        <v>248</v>
      </c>
      <c r="B56" s="19" t="s">
        <v>249</v>
      </c>
      <c r="C56" s="14">
        <v>4560</v>
      </c>
      <c r="D56" s="15">
        <v>2.533333333333333</v>
      </c>
      <c r="E56" s="14">
        <v>0</v>
      </c>
      <c r="F56" s="14">
        <v>265.5218</v>
      </c>
      <c r="G56" s="14">
        <v>0</v>
      </c>
      <c r="H56" s="14">
        <v>0</v>
      </c>
      <c r="I56" s="14">
        <v>100.89828273389341</v>
      </c>
      <c r="J56" s="14">
        <v>366.4200827338934</v>
      </c>
      <c r="K56" s="22"/>
      <c r="N56" s="14">
        <v>230</v>
      </c>
      <c r="O56" s="15">
        <v>0.12777777777777777</v>
      </c>
      <c r="P56" s="14">
        <v>0</v>
      </c>
      <c r="Q56" s="14">
        <v>18.611044444444445</v>
      </c>
      <c r="R56" s="14">
        <v>0</v>
      </c>
      <c r="S56" s="14">
        <v>0</v>
      </c>
      <c r="T56" s="14">
        <v>7.072196800144513</v>
      </c>
      <c r="U56" s="14">
        <v>25.68324124458896</v>
      </c>
      <c r="V56" s="16">
        <v>0.07009234060798189</v>
      </c>
      <c r="Y56" s="14">
        <v>650</v>
      </c>
      <c r="Z56" s="15">
        <v>0.3611111111111111</v>
      </c>
      <c r="AA56" s="14">
        <v>0</v>
      </c>
      <c r="AB56" s="14">
        <v>51.39757777777778</v>
      </c>
      <c r="AC56" s="14">
        <v>0</v>
      </c>
      <c r="AD56" s="14">
        <v>0</v>
      </c>
      <c r="AE56" s="14">
        <v>19.53107931047281</v>
      </c>
      <c r="AF56" s="14">
        <v>70.92865708825059</v>
      </c>
      <c r="AG56" s="16">
        <v>0.19357196952482913</v>
      </c>
      <c r="AJ56" s="14">
        <v>3680</v>
      </c>
      <c r="AK56" s="15">
        <v>2.0444444444444443</v>
      </c>
      <c r="AL56" s="14">
        <v>0</v>
      </c>
      <c r="AM56" s="14">
        <v>195.5131777777778</v>
      </c>
      <c r="AN56" s="14">
        <v>0</v>
      </c>
      <c r="AO56" s="14">
        <v>0</v>
      </c>
      <c r="AP56" s="14">
        <v>74.29500662327608</v>
      </c>
      <c r="AQ56" s="14">
        <v>269.8081844010539</v>
      </c>
      <c r="AR56" s="16">
        <v>0.736335689867189</v>
      </c>
      <c r="AU56" s="14">
        <v>0</v>
      </c>
      <c r="AV56" s="15">
        <v>0</v>
      </c>
      <c r="AW56" s="14">
        <v>0</v>
      </c>
      <c r="AX56" s="14">
        <v>0</v>
      </c>
      <c r="AY56" s="14">
        <v>0</v>
      </c>
      <c r="AZ56" s="14">
        <v>0</v>
      </c>
      <c r="BA56" s="14">
        <v>0</v>
      </c>
      <c r="BB56" s="14">
        <v>0</v>
      </c>
      <c r="BC56" s="16">
        <v>0</v>
      </c>
    </row>
    <row r="57" spans="1:55" ht="12.75">
      <c r="A57" s="23" t="s">
        <v>250</v>
      </c>
      <c r="B57" s="19" t="s">
        <v>251</v>
      </c>
      <c r="C57" s="14">
        <v>3755</v>
      </c>
      <c r="D57" s="15">
        <v>2.0861111111111112</v>
      </c>
      <c r="E57" s="14">
        <v>0</v>
      </c>
      <c r="F57" s="14">
        <v>223.1987388888889</v>
      </c>
      <c r="G57" s="14">
        <v>0</v>
      </c>
      <c r="H57" s="14">
        <v>0</v>
      </c>
      <c r="I57" s="14">
        <v>84.81551971348325</v>
      </c>
      <c r="J57" s="14">
        <v>308.01425860237214</v>
      </c>
      <c r="K57" s="22"/>
      <c r="N57" s="14">
        <v>240</v>
      </c>
      <c r="O57" s="15">
        <v>0.13333333333333333</v>
      </c>
      <c r="P57" s="14">
        <v>0</v>
      </c>
      <c r="Q57" s="14">
        <v>19.847588888888886</v>
      </c>
      <c r="R57" s="14">
        <v>0</v>
      </c>
      <c r="S57" s="14">
        <v>0</v>
      </c>
      <c r="T57" s="14">
        <v>7.542083683137099</v>
      </c>
      <c r="U57" s="14">
        <v>27.389672572025987</v>
      </c>
      <c r="V57" s="16">
        <v>0.08892339171669453</v>
      </c>
      <c r="Y57" s="14">
        <v>495</v>
      </c>
      <c r="Z57" s="15">
        <v>0.275</v>
      </c>
      <c r="AA57" s="14">
        <v>0</v>
      </c>
      <c r="AB57" s="14">
        <v>35.933150000000005</v>
      </c>
      <c r="AC57" s="14">
        <v>0</v>
      </c>
      <c r="AD57" s="14">
        <v>0</v>
      </c>
      <c r="AE57" s="14">
        <v>13.65459682865739</v>
      </c>
      <c r="AF57" s="14">
        <v>49.587746828657394</v>
      </c>
      <c r="AG57" s="16">
        <v>0.16099172503787296</v>
      </c>
      <c r="AJ57" s="14">
        <v>3020</v>
      </c>
      <c r="AK57" s="15">
        <v>1.6777777777777778</v>
      </c>
      <c r="AL57" s="14">
        <v>0</v>
      </c>
      <c r="AM57" s="14">
        <v>167.418</v>
      </c>
      <c r="AN57" s="14">
        <v>0</v>
      </c>
      <c r="AO57" s="14">
        <v>0</v>
      </c>
      <c r="AP57" s="14">
        <v>63.618839201688765</v>
      </c>
      <c r="AQ57" s="14">
        <v>231.03683920168876</v>
      </c>
      <c r="AR57" s="16">
        <v>0.7500848832454325</v>
      </c>
      <c r="AU57" s="14">
        <v>0</v>
      </c>
      <c r="AV57" s="15">
        <v>0</v>
      </c>
      <c r="AW57" s="14">
        <v>0</v>
      </c>
      <c r="AX57" s="14">
        <v>0</v>
      </c>
      <c r="AY57" s="14">
        <v>0</v>
      </c>
      <c r="AZ57" s="14">
        <v>0</v>
      </c>
      <c r="BA57" s="14">
        <v>0</v>
      </c>
      <c r="BB57" s="14">
        <v>0</v>
      </c>
      <c r="BC57" s="16">
        <v>0</v>
      </c>
    </row>
    <row r="58" spans="1:55" ht="12.75">
      <c r="A58" s="23" t="s">
        <v>252</v>
      </c>
      <c r="B58" s="19" t="s">
        <v>253</v>
      </c>
      <c r="C58" s="14">
        <v>760</v>
      </c>
      <c r="D58" s="15">
        <v>0.4222222222222222</v>
      </c>
      <c r="E58" s="14">
        <v>0</v>
      </c>
      <c r="F58" s="14">
        <v>57.45463333333333</v>
      </c>
      <c r="G58" s="14">
        <v>179.735</v>
      </c>
      <c r="H58" s="14">
        <v>0</v>
      </c>
      <c r="I58" s="14">
        <v>87.38658742656311</v>
      </c>
      <c r="J58" s="14">
        <v>324.57622075989644</v>
      </c>
      <c r="K58" s="22"/>
      <c r="N58" s="14">
        <v>60</v>
      </c>
      <c r="O58" s="15">
        <v>0.03333333333333333</v>
      </c>
      <c r="P58" s="14">
        <v>0</v>
      </c>
      <c r="Q58" s="14">
        <v>5.121466666666667</v>
      </c>
      <c r="R58" s="14">
        <v>0</v>
      </c>
      <c r="S58" s="14">
        <v>0</v>
      </c>
      <c r="T58" s="14">
        <v>1.638869296701749</v>
      </c>
      <c r="U58" s="14">
        <v>6.760335963368416</v>
      </c>
      <c r="V58" s="16">
        <v>0.020828192365852146</v>
      </c>
      <c r="Y58" s="14">
        <v>500</v>
      </c>
      <c r="Z58" s="15">
        <v>0.2777777777777778</v>
      </c>
      <c r="AA58" s="14">
        <v>0</v>
      </c>
      <c r="AB58" s="14">
        <v>40.636399999999995</v>
      </c>
      <c r="AC58" s="14">
        <v>0</v>
      </c>
      <c r="AD58" s="14">
        <v>0</v>
      </c>
      <c r="AE58" s="14">
        <v>13.003647709345817</v>
      </c>
      <c r="AF58" s="14">
        <v>53.64004770934581</v>
      </c>
      <c r="AG58" s="16">
        <v>0.16526179146384773</v>
      </c>
      <c r="AJ58" s="14">
        <v>200</v>
      </c>
      <c r="AK58" s="15">
        <v>0.1111111111111111</v>
      </c>
      <c r="AL58" s="14">
        <v>0</v>
      </c>
      <c r="AM58" s="14">
        <v>11.696766666666667</v>
      </c>
      <c r="AN58" s="14">
        <v>179.735</v>
      </c>
      <c r="AO58" s="14">
        <v>0</v>
      </c>
      <c r="AP58" s="14">
        <v>72.74407042051554</v>
      </c>
      <c r="AQ58" s="14">
        <v>264.17583708718223</v>
      </c>
      <c r="AR58" s="16">
        <v>0.8139100161703001</v>
      </c>
      <c r="AU58" s="14">
        <v>0</v>
      </c>
      <c r="AV58" s="15">
        <v>0</v>
      </c>
      <c r="AW58" s="14">
        <v>0</v>
      </c>
      <c r="AX58" s="14">
        <v>0</v>
      </c>
      <c r="AY58" s="14">
        <v>0</v>
      </c>
      <c r="AZ58" s="14">
        <v>0</v>
      </c>
      <c r="BA58" s="14">
        <v>0</v>
      </c>
      <c r="BB58" s="14">
        <v>0</v>
      </c>
      <c r="BC58" s="16">
        <v>0</v>
      </c>
    </row>
    <row r="59" spans="1:55" ht="12.75">
      <c r="A59" s="23" t="s">
        <v>254</v>
      </c>
      <c r="B59" s="19" t="s">
        <v>255</v>
      </c>
      <c r="C59" s="14">
        <v>760</v>
      </c>
      <c r="D59" s="15">
        <v>0.4222222222222222</v>
      </c>
      <c r="E59" s="14">
        <v>0</v>
      </c>
      <c r="F59" s="14">
        <v>56.56104444444445</v>
      </c>
      <c r="G59" s="14">
        <v>49.44</v>
      </c>
      <c r="H59" s="14">
        <v>0</v>
      </c>
      <c r="I59" s="14">
        <v>37.58853960980508</v>
      </c>
      <c r="J59" s="14">
        <v>143.58958405424954</v>
      </c>
      <c r="K59" s="22"/>
      <c r="N59" s="14">
        <v>160</v>
      </c>
      <c r="O59" s="15">
        <v>0.08888888888888889</v>
      </c>
      <c r="P59" s="14">
        <v>0</v>
      </c>
      <c r="Q59" s="14">
        <v>13.274277777777778</v>
      </c>
      <c r="R59" s="14">
        <v>0</v>
      </c>
      <c r="S59" s="14">
        <v>0</v>
      </c>
      <c r="T59" s="14">
        <v>4.247768793943855</v>
      </c>
      <c r="U59" s="14">
        <v>17.52204657172163</v>
      </c>
      <c r="V59" s="16">
        <v>0.1220286742045414</v>
      </c>
      <c r="Y59" s="14">
        <v>400</v>
      </c>
      <c r="Z59" s="15">
        <v>0.2222222222222222</v>
      </c>
      <c r="AA59" s="14">
        <v>0</v>
      </c>
      <c r="AB59" s="14">
        <v>31.59</v>
      </c>
      <c r="AC59" s="14">
        <v>0</v>
      </c>
      <c r="AD59" s="14">
        <v>0</v>
      </c>
      <c r="AE59" s="14">
        <v>10.108799774050713</v>
      </c>
      <c r="AF59" s="14">
        <v>41.69879977405071</v>
      </c>
      <c r="AG59" s="16">
        <v>0.2904026782213987</v>
      </c>
      <c r="AJ59" s="14">
        <v>200</v>
      </c>
      <c r="AK59" s="15">
        <v>0.1111111111111111</v>
      </c>
      <c r="AL59" s="14">
        <v>0</v>
      </c>
      <c r="AM59" s="14">
        <v>11.696766666666667</v>
      </c>
      <c r="AN59" s="14">
        <v>49.44</v>
      </c>
      <c r="AO59" s="14">
        <v>0</v>
      </c>
      <c r="AP59" s="14">
        <v>23.23197104181051</v>
      </c>
      <c r="AQ59" s="14">
        <v>84.36873770847717</v>
      </c>
      <c r="AR59" s="16">
        <v>0.5875686475740597</v>
      </c>
      <c r="AU59" s="14">
        <v>0</v>
      </c>
      <c r="AV59" s="15">
        <v>0</v>
      </c>
      <c r="AW59" s="14">
        <v>0</v>
      </c>
      <c r="AX59" s="14">
        <v>0</v>
      </c>
      <c r="AY59" s="14">
        <v>0</v>
      </c>
      <c r="AZ59" s="14">
        <v>0</v>
      </c>
      <c r="BA59" s="14">
        <v>0</v>
      </c>
      <c r="BB59" s="14">
        <v>0</v>
      </c>
      <c r="BC59" s="16">
        <v>0</v>
      </c>
    </row>
    <row r="60" spans="1:55" ht="12.75">
      <c r="A60" s="23" t="s">
        <v>256</v>
      </c>
      <c r="B60" s="19" t="s">
        <v>257</v>
      </c>
      <c r="C60" s="14">
        <v>320</v>
      </c>
      <c r="D60" s="15">
        <v>0.17777777777777778</v>
      </c>
      <c r="E60" s="14">
        <v>0</v>
      </c>
      <c r="F60" s="14">
        <v>25.49062222222222</v>
      </c>
      <c r="G60" s="14">
        <v>52.53</v>
      </c>
      <c r="H60" s="14">
        <v>0</v>
      </c>
      <c r="I60" s="14">
        <v>28.244462683314747</v>
      </c>
      <c r="J60" s="14">
        <v>106.26508490553697</v>
      </c>
      <c r="K60" s="22"/>
      <c r="N60" s="14">
        <v>0</v>
      </c>
      <c r="O60" s="15">
        <v>0</v>
      </c>
      <c r="P60" s="14">
        <v>0</v>
      </c>
      <c r="Q60" s="14">
        <v>0</v>
      </c>
      <c r="R60" s="14">
        <v>0</v>
      </c>
      <c r="S60" s="14">
        <v>0</v>
      </c>
      <c r="T60" s="14">
        <v>0</v>
      </c>
      <c r="U60" s="14">
        <v>0</v>
      </c>
      <c r="V60" s="16">
        <v>0</v>
      </c>
      <c r="Y60" s="14">
        <v>280</v>
      </c>
      <c r="Z60" s="15">
        <v>0.15555555555555556</v>
      </c>
      <c r="AA60" s="14">
        <v>0</v>
      </c>
      <c r="AB60" s="14">
        <v>23.389555555555553</v>
      </c>
      <c r="AC60" s="14">
        <v>0</v>
      </c>
      <c r="AD60" s="14">
        <v>0</v>
      </c>
      <c r="AE60" s="14">
        <v>7.484657610482639</v>
      </c>
      <c r="AF60" s="14">
        <v>30.874213166038192</v>
      </c>
      <c r="AG60" s="16">
        <v>0.29053958027214155</v>
      </c>
      <c r="AJ60" s="14">
        <v>40</v>
      </c>
      <c r="AK60" s="15">
        <v>0.022222222222222223</v>
      </c>
      <c r="AL60" s="14">
        <v>0</v>
      </c>
      <c r="AM60" s="14">
        <v>2.1010666666666666</v>
      </c>
      <c r="AN60" s="14">
        <v>52.53</v>
      </c>
      <c r="AO60" s="14">
        <v>0</v>
      </c>
      <c r="AP60" s="14">
        <v>20.75980507283211</v>
      </c>
      <c r="AQ60" s="14">
        <v>75.39087173949878</v>
      </c>
      <c r="AR60" s="16">
        <v>0.7094604197278586</v>
      </c>
      <c r="AU60" s="14">
        <v>0</v>
      </c>
      <c r="AV60" s="15">
        <v>0</v>
      </c>
      <c r="AW60" s="14">
        <v>0</v>
      </c>
      <c r="AX60" s="14">
        <v>0</v>
      </c>
      <c r="AY60" s="14">
        <v>0</v>
      </c>
      <c r="AZ60" s="14">
        <v>0</v>
      </c>
      <c r="BA60" s="14">
        <v>0</v>
      </c>
      <c r="BB60" s="14">
        <v>0</v>
      </c>
      <c r="BC60" s="16">
        <v>0</v>
      </c>
    </row>
    <row r="61" spans="1:55" ht="12.75">
      <c r="A61" s="23" t="s">
        <v>258</v>
      </c>
      <c r="B61" s="19" t="s">
        <v>259</v>
      </c>
      <c r="C61" s="14">
        <v>760</v>
      </c>
      <c r="D61" s="15">
        <v>0.4222222222222222</v>
      </c>
      <c r="E61" s="14">
        <v>0</v>
      </c>
      <c r="F61" s="14">
        <v>60.69156666666667</v>
      </c>
      <c r="G61" s="14">
        <v>0</v>
      </c>
      <c r="H61" s="14">
        <v>0</v>
      </c>
      <c r="I61" s="14">
        <v>19.421300899233422</v>
      </c>
      <c r="J61" s="14">
        <v>80.11286756590009</v>
      </c>
      <c r="K61" s="22"/>
      <c r="N61" s="14">
        <v>160</v>
      </c>
      <c r="O61" s="15">
        <v>0.08888888888888889</v>
      </c>
      <c r="P61" s="14">
        <v>0</v>
      </c>
      <c r="Q61" s="14">
        <v>13.018966666666667</v>
      </c>
      <c r="R61" s="14">
        <v>0</v>
      </c>
      <c r="S61" s="14">
        <v>0</v>
      </c>
      <c r="T61" s="14">
        <v>4.166069240214428</v>
      </c>
      <c r="U61" s="14">
        <v>17.185035906881097</v>
      </c>
      <c r="V61" s="16">
        <v>0.21451030813177233</v>
      </c>
      <c r="Y61" s="14">
        <v>480</v>
      </c>
      <c r="Z61" s="15">
        <v>0.26666666666666666</v>
      </c>
      <c r="AA61" s="14">
        <v>0</v>
      </c>
      <c r="AB61" s="14">
        <v>39.43986666666667</v>
      </c>
      <c r="AC61" s="14">
        <v>0</v>
      </c>
      <c r="AD61" s="14">
        <v>0</v>
      </c>
      <c r="AE61" s="14">
        <v>12.620757051237424</v>
      </c>
      <c r="AF61" s="14">
        <v>52.06062371790409</v>
      </c>
      <c r="AG61" s="16">
        <v>0.6498409718648445</v>
      </c>
      <c r="AJ61" s="14">
        <v>120</v>
      </c>
      <c r="AK61" s="15">
        <v>0.06666666666666667</v>
      </c>
      <c r="AL61" s="14">
        <v>0</v>
      </c>
      <c r="AM61" s="14">
        <v>8.232733333333334</v>
      </c>
      <c r="AN61" s="14">
        <v>0</v>
      </c>
      <c r="AO61" s="14">
        <v>0</v>
      </c>
      <c r="AP61" s="14">
        <v>2.6344746077815695</v>
      </c>
      <c r="AQ61" s="14">
        <v>10.867207941114904</v>
      </c>
      <c r="AR61" s="16">
        <v>0.13564872000338324</v>
      </c>
      <c r="AU61" s="14">
        <v>0</v>
      </c>
      <c r="AV61" s="15">
        <v>0</v>
      </c>
      <c r="AW61" s="14">
        <v>0</v>
      </c>
      <c r="AX61" s="14">
        <v>0</v>
      </c>
      <c r="AY61" s="14">
        <v>0</v>
      </c>
      <c r="AZ61" s="14">
        <v>0</v>
      </c>
      <c r="BA61" s="14">
        <v>0</v>
      </c>
      <c r="BB61" s="14">
        <v>0</v>
      </c>
      <c r="BC61" s="16">
        <v>0</v>
      </c>
    </row>
    <row r="62" spans="1:55" ht="12.75">
      <c r="A62" s="13">
        <v>4.5</v>
      </c>
      <c r="B62" s="19" t="s">
        <v>260</v>
      </c>
      <c r="K62" s="22"/>
      <c r="V62" s="22"/>
      <c r="AG62" s="22"/>
      <c r="AR62" s="22"/>
      <c r="BC62" s="22"/>
    </row>
    <row r="63" spans="1:55" ht="12.75">
      <c r="A63" s="23" t="s">
        <v>261</v>
      </c>
      <c r="B63" s="19" t="s">
        <v>262</v>
      </c>
      <c r="C63" s="14">
        <v>13778.79995727539</v>
      </c>
      <c r="D63" s="15">
        <v>7.654888865152995</v>
      </c>
      <c r="E63" s="14">
        <v>5</v>
      </c>
      <c r="F63" s="14">
        <v>667.3105900299411</v>
      </c>
      <c r="G63" s="14">
        <v>1067.3220000000001</v>
      </c>
      <c r="H63" s="14">
        <v>15.878675537109377</v>
      </c>
      <c r="I63" s="14">
        <v>490.14315644554625</v>
      </c>
      <c r="J63" s="14">
        <v>2240.6544220125966</v>
      </c>
      <c r="K63" s="22"/>
      <c r="N63" s="14">
        <v>3036.6000061035156</v>
      </c>
      <c r="O63" s="15">
        <v>1.687000003390842</v>
      </c>
      <c r="P63" s="14">
        <v>0</v>
      </c>
      <c r="Q63" s="14">
        <v>146.72984348778618</v>
      </c>
      <c r="R63" s="14">
        <v>15.862</v>
      </c>
      <c r="S63" s="14">
        <v>0</v>
      </c>
      <c r="T63" s="14">
        <v>45.525716370404716</v>
      </c>
      <c r="U63" s="14">
        <v>208.1175598581909</v>
      </c>
      <c r="V63" s="16">
        <v>0.09288248906819639</v>
      </c>
      <c r="Y63" s="14">
        <v>10154.199951171875</v>
      </c>
      <c r="Z63" s="15">
        <v>5.641222195095486</v>
      </c>
      <c r="AA63" s="14">
        <v>1</v>
      </c>
      <c r="AB63" s="14">
        <v>484.9716843199327</v>
      </c>
      <c r="AC63" s="14">
        <v>28.84</v>
      </c>
      <c r="AD63" s="14">
        <v>2.911735107421875</v>
      </c>
      <c r="AE63" s="14">
        <v>144.6825580556416</v>
      </c>
      <c r="AF63" s="14">
        <v>661.4059774829963</v>
      </c>
      <c r="AG63" s="16">
        <v>0.29518428678033687</v>
      </c>
      <c r="AJ63" s="14">
        <v>588</v>
      </c>
      <c r="AK63" s="15">
        <v>0.32666666666666666</v>
      </c>
      <c r="AL63" s="14">
        <v>4</v>
      </c>
      <c r="AM63" s="14">
        <v>35.60906222222222</v>
      </c>
      <c r="AN63" s="14">
        <v>1022.62</v>
      </c>
      <c r="AO63" s="14">
        <v>12.9669404296875</v>
      </c>
      <c r="AP63" s="14">
        <v>299.9348820194999</v>
      </c>
      <c r="AQ63" s="14">
        <v>1371.1308846714096</v>
      </c>
      <c r="AR63" s="16">
        <v>0.6119332241514668</v>
      </c>
      <c r="AU63" s="14">
        <v>0</v>
      </c>
      <c r="AV63" s="15">
        <v>0</v>
      </c>
      <c r="AW63" s="14">
        <v>0</v>
      </c>
      <c r="AX63" s="14">
        <v>0</v>
      </c>
      <c r="AY63" s="14">
        <v>0</v>
      </c>
      <c r="AZ63" s="14">
        <v>0</v>
      </c>
      <c r="BA63" s="14">
        <v>0</v>
      </c>
      <c r="BB63" s="14">
        <v>0</v>
      </c>
      <c r="BC63" s="16">
        <v>0</v>
      </c>
    </row>
    <row r="64" spans="1:55" ht="12.75">
      <c r="A64" s="23" t="s">
        <v>263</v>
      </c>
      <c r="B64" s="19" t="s">
        <v>264</v>
      </c>
      <c r="C64" s="14">
        <v>3040</v>
      </c>
      <c r="D64" s="15">
        <v>1.6888888888888889</v>
      </c>
      <c r="E64" s="14">
        <v>2</v>
      </c>
      <c r="F64" s="14">
        <v>211.52337777777777</v>
      </c>
      <c r="G64" s="14">
        <v>1483.2</v>
      </c>
      <c r="H64" s="14">
        <v>5.62347021484375</v>
      </c>
      <c r="I64" s="14">
        <v>331.5324564445179</v>
      </c>
      <c r="J64" s="14">
        <v>2031.8793044371396</v>
      </c>
      <c r="K64" s="22"/>
      <c r="N64" s="14">
        <v>320</v>
      </c>
      <c r="O64" s="15">
        <v>0.17777777777777778</v>
      </c>
      <c r="P64" s="14">
        <v>1</v>
      </c>
      <c r="Q64" s="14">
        <v>25.272</v>
      </c>
      <c r="R64" s="14">
        <v>0</v>
      </c>
      <c r="S64" s="14">
        <v>2.811735107421875</v>
      </c>
      <c r="T64" s="14">
        <v>3.3700481375641775</v>
      </c>
      <c r="U64" s="14">
        <v>31.45378324498605</v>
      </c>
      <c r="V64" s="16">
        <v>0.015480143518514358</v>
      </c>
      <c r="Y64" s="14">
        <v>960</v>
      </c>
      <c r="Z64" s="15">
        <v>0.5333333333333333</v>
      </c>
      <c r="AA64" s="14">
        <v>1</v>
      </c>
      <c r="AB64" s="14">
        <v>75.816</v>
      </c>
      <c r="AC64" s="14">
        <v>0</v>
      </c>
      <c r="AD64" s="14">
        <v>2.811735107421875</v>
      </c>
      <c r="AE64" s="14">
        <v>9.435328001994606</v>
      </c>
      <c r="AF64" s="14">
        <v>88.06306310941649</v>
      </c>
      <c r="AG64" s="16">
        <v>0.04334069593459994</v>
      </c>
      <c r="AJ64" s="14">
        <v>1760</v>
      </c>
      <c r="AK64" s="15">
        <v>0.9777777777777777</v>
      </c>
      <c r="AL64" s="14">
        <v>0</v>
      </c>
      <c r="AM64" s="14">
        <v>110.43537777777777</v>
      </c>
      <c r="AN64" s="14">
        <v>1483.2</v>
      </c>
      <c r="AO64" s="14">
        <v>0</v>
      </c>
      <c r="AP64" s="14">
        <v>318.7270803049591</v>
      </c>
      <c r="AQ64" s="14">
        <v>1912.362458082737</v>
      </c>
      <c r="AR64" s="16">
        <v>0.9411791605468857</v>
      </c>
      <c r="AU64" s="14">
        <v>0</v>
      </c>
      <c r="AV64" s="15">
        <v>0</v>
      </c>
      <c r="AW64" s="14">
        <v>0</v>
      </c>
      <c r="AX64" s="14">
        <v>0</v>
      </c>
      <c r="AY64" s="14">
        <v>0</v>
      </c>
      <c r="AZ64" s="14">
        <v>0</v>
      </c>
      <c r="BA64" s="14">
        <v>0</v>
      </c>
      <c r="BB64" s="14">
        <v>0</v>
      </c>
      <c r="BC64" s="16">
        <v>0</v>
      </c>
    </row>
    <row r="65" spans="1:55" ht="12.75">
      <c r="A65" s="13">
        <v>4.6</v>
      </c>
      <c r="B65" s="19" t="s">
        <v>265</v>
      </c>
      <c r="C65" s="14">
        <v>8480</v>
      </c>
      <c r="D65" s="15">
        <v>4.711111111111111</v>
      </c>
      <c r="E65" s="14">
        <v>12</v>
      </c>
      <c r="F65" s="14">
        <v>689.7959333333333</v>
      </c>
      <c r="G65" s="14">
        <v>112.7</v>
      </c>
      <c r="H65" s="14">
        <v>82.670828125</v>
      </c>
      <c r="I65" s="14">
        <v>200.506798319659</v>
      </c>
      <c r="J65" s="14">
        <v>1085.6735597779923</v>
      </c>
      <c r="K65" s="22"/>
      <c r="N65" s="14">
        <v>200</v>
      </c>
      <c r="O65" s="15">
        <v>0.1111111111111111</v>
      </c>
      <c r="P65" s="14">
        <v>0</v>
      </c>
      <c r="Q65" s="14">
        <v>20.157822222222226</v>
      </c>
      <c r="R65" s="14">
        <v>0</v>
      </c>
      <c r="S65" s="14">
        <v>0</v>
      </c>
      <c r="T65" s="14">
        <v>1.007891126129859</v>
      </c>
      <c r="U65" s="14">
        <v>21.165713348352085</v>
      </c>
      <c r="V65" s="16">
        <v>0.019495467267969784</v>
      </c>
      <c r="Y65" s="14">
        <v>1200</v>
      </c>
      <c r="Z65" s="15">
        <v>0.6666666666666666</v>
      </c>
      <c r="AA65" s="14">
        <v>0</v>
      </c>
      <c r="AB65" s="14">
        <v>107.23255555555555</v>
      </c>
      <c r="AC65" s="14">
        <v>0</v>
      </c>
      <c r="AD65" s="14">
        <v>0</v>
      </c>
      <c r="AE65" s="14">
        <v>10.723255715344514</v>
      </c>
      <c r="AF65" s="14">
        <v>117.95581127090006</v>
      </c>
      <c r="AG65" s="16">
        <v>0.10864758583143598</v>
      </c>
      <c r="AJ65" s="14">
        <v>7000</v>
      </c>
      <c r="AK65" s="15">
        <v>3.888888888888889</v>
      </c>
      <c r="AL65" s="14">
        <v>12</v>
      </c>
      <c r="AM65" s="14">
        <v>559.0633333333334</v>
      </c>
      <c r="AN65" s="14">
        <v>112.7</v>
      </c>
      <c r="AO65" s="14">
        <v>82.670828125</v>
      </c>
      <c r="AP65" s="14">
        <v>188.60854036458335</v>
      </c>
      <c r="AQ65" s="14">
        <v>943.0427018229168</v>
      </c>
      <c r="AR65" s="16">
        <v>0.8686245449467869</v>
      </c>
      <c r="AU65" s="14">
        <v>80</v>
      </c>
      <c r="AV65" s="15">
        <v>0.044444444444444446</v>
      </c>
      <c r="AW65" s="14">
        <v>0</v>
      </c>
      <c r="AX65" s="14">
        <v>3.342222222222222</v>
      </c>
      <c r="AY65" s="14">
        <v>0</v>
      </c>
      <c r="AZ65" s="14">
        <v>0</v>
      </c>
      <c r="BA65" s="14">
        <v>0.1671111136012607</v>
      </c>
      <c r="BB65" s="14">
        <v>3.5093333358234826</v>
      </c>
      <c r="BC65" s="16">
        <v>0.0032324019538074603</v>
      </c>
    </row>
    <row r="66" spans="1:56" ht="12.75">
      <c r="A66" s="8">
        <v>5</v>
      </c>
      <c r="B66" s="9" t="s">
        <v>266</v>
      </c>
      <c r="C66" s="25"/>
      <c r="D66" s="25"/>
      <c r="E66" s="25"/>
      <c r="F66" s="25"/>
      <c r="G66" s="25"/>
      <c r="H66" s="25"/>
      <c r="I66" s="25"/>
      <c r="J66" s="25"/>
      <c r="K66" s="11">
        <v>0.2584920363046229</v>
      </c>
      <c r="L66" s="12">
        <v>10915.285081201297</v>
      </c>
      <c r="N66" s="25"/>
      <c r="O66" s="25"/>
      <c r="P66" s="25"/>
      <c r="Q66" s="25"/>
      <c r="R66" s="25"/>
      <c r="S66" s="25"/>
      <c r="T66" s="25"/>
      <c r="U66" s="25"/>
      <c r="V66" s="25"/>
      <c r="W66" s="12">
        <v>339.2498195468377</v>
      </c>
      <c r="Y66" s="25"/>
      <c r="Z66" s="25"/>
      <c r="AA66" s="25"/>
      <c r="AB66" s="25"/>
      <c r="AC66" s="25"/>
      <c r="AD66" s="25"/>
      <c r="AE66" s="25"/>
      <c r="AF66" s="25"/>
      <c r="AG66" s="25"/>
      <c r="AH66" s="12">
        <v>2291.793083944946</v>
      </c>
      <c r="AJ66" s="25"/>
      <c r="AK66" s="25"/>
      <c r="AL66" s="25"/>
      <c r="AM66" s="25"/>
      <c r="AN66" s="25"/>
      <c r="AO66" s="25"/>
      <c r="AP66" s="25"/>
      <c r="AQ66" s="25"/>
      <c r="AR66" s="25"/>
      <c r="AS66" s="12">
        <v>8139.052018988856</v>
      </c>
      <c r="AU66" s="25"/>
      <c r="AV66" s="25"/>
      <c r="AW66" s="25"/>
      <c r="AX66" s="25"/>
      <c r="AY66" s="25"/>
      <c r="AZ66" s="25"/>
      <c r="BA66" s="25"/>
      <c r="BB66" s="25"/>
      <c r="BC66" s="25"/>
      <c r="BD66" s="12">
        <v>145.1901587206602</v>
      </c>
    </row>
    <row r="67" spans="1:55" ht="12.75">
      <c r="A67" s="13">
        <v>5.1</v>
      </c>
      <c r="B67" s="19" t="s">
        <v>267</v>
      </c>
      <c r="C67" s="14">
        <v>1224</v>
      </c>
      <c r="D67" s="15">
        <v>0.68</v>
      </c>
      <c r="E67" s="14">
        <v>0</v>
      </c>
      <c r="F67" s="14">
        <v>81.45215555555555</v>
      </c>
      <c r="G67" s="14">
        <v>51.47</v>
      </c>
      <c r="H67" s="14">
        <v>0</v>
      </c>
      <c r="I67" s="14">
        <v>29.242874063766664</v>
      </c>
      <c r="J67" s="14">
        <v>162.1650296193222</v>
      </c>
      <c r="K67" s="22"/>
      <c r="N67" s="14">
        <v>160</v>
      </c>
      <c r="O67" s="15">
        <v>0.08888888888888889</v>
      </c>
      <c r="P67" s="14">
        <v>0</v>
      </c>
      <c r="Q67" s="14">
        <v>11.6309</v>
      </c>
      <c r="R67" s="14">
        <v>0</v>
      </c>
      <c r="S67" s="14">
        <v>0</v>
      </c>
      <c r="T67" s="14">
        <v>2.558797986134887</v>
      </c>
      <c r="U67" s="14">
        <v>14.189697986134888</v>
      </c>
      <c r="V67" s="16">
        <v>0.08750159032095144</v>
      </c>
      <c r="Y67" s="14">
        <v>544</v>
      </c>
      <c r="Z67" s="15">
        <v>0.3022222222222222</v>
      </c>
      <c r="AA67" s="14">
        <v>0</v>
      </c>
      <c r="AB67" s="14">
        <v>39.436477777777775</v>
      </c>
      <c r="AC67" s="14">
        <v>0</v>
      </c>
      <c r="AD67" s="14">
        <v>0</v>
      </c>
      <c r="AE67" s="14">
        <v>8.676025064099166</v>
      </c>
      <c r="AF67" s="14">
        <v>48.11250284187694</v>
      </c>
      <c r="AG67" s="16">
        <v>0.29668852128488904</v>
      </c>
      <c r="AJ67" s="14">
        <v>520</v>
      </c>
      <c r="AK67" s="15">
        <v>0.28888888888888886</v>
      </c>
      <c r="AL67" s="14">
        <v>0</v>
      </c>
      <c r="AM67" s="14">
        <v>30.384777777777778</v>
      </c>
      <c r="AN67" s="14">
        <v>51.47</v>
      </c>
      <c r="AO67" s="14">
        <v>0</v>
      </c>
      <c r="AP67" s="14">
        <v>18.00805101353261</v>
      </c>
      <c r="AQ67" s="14">
        <v>99.86282879131038</v>
      </c>
      <c r="AR67" s="16">
        <v>0.6158098883941595</v>
      </c>
      <c r="AU67" s="14">
        <v>0</v>
      </c>
      <c r="AV67" s="15">
        <v>0</v>
      </c>
      <c r="AW67" s="14">
        <v>0</v>
      </c>
      <c r="AX67" s="14">
        <v>0</v>
      </c>
      <c r="AY67" s="14">
        <v>0</v>
      </c>
      <c r="AZ67" s="14">
        <v>0</v>
      </c>
      <c r="BA67" s="14">
        <v>0</v>
      </c>
      <c r="BB67" s="14">
        <v>0</v>
      </c>
      <c r="BC67" s="16">
        <v>0</v>
      </c>
    </row>
    <row r="68" spans="1:55" ht="12.75">
      <c r="A68" s="13">
        <v>5.2</v>
      </c>
      <c r="B68" s="13" t="s">
        <v>268</v>
      </c>
      <c r="C68" s="14">
        <v>3440</v>
      </c>
      <c r="D68" s="15">
        <v>1.9111111111111112</v>
      </c>
      <c r="E68" s="14">
        <v>29</v>
      </c>
      <c r="F68" s="14">
        <v>328.97899555555557</v>
      </c>
      <c r="G68" s="14">
        <v>5690.851</v>
      </c>
      <c r="H68" s="14">
        <v>109.38031933593751</v>
      </c>
      <c r="I68" s="14">
        <v>1159.9989320488637</v>
      </c>
      <c r="J68" s="14">
        <v>7289.209246940356</v>
      </c>
      <c r="K68" s="22"/>
      <c r="N68" s="14">
        <v>820</v>
      </c>
      <c r="O68" s="15">
        <v>0.45555555555555555</v>
      </c>
      <c r="P68" s="14">
        <v>4</v>
      </c>
      <c r="Q68" s="14">
        <v>85.88585111111111</v>
      </c>
      <c r="R68" s="14">
        <v>0</v>
      </c>
      <c r="S68" s="14">
        <v>15.0869404296875</v>
      </c>
      <c r="T68" s="14">
        <v>10.097279304541045</v>
      </c>
      <c r="U68" s="14">
        <v>111.07007084533966</v>
      </c>
      <c r="V68" s="16">
        <v>0.015237602198340142</v>
      </c>
      <c r="Y68" s="14">
        <v>998</v>
      </c>
      <c r="Z68" s="15">
        <v>0.5544444444444444</v>
      </c>
      <c r="AA68" s="14">
        <v>6</v>
      </c>
      <c r="AB68" s="14">
        <v>97.6384688888889</v>
      </c>
      <c r="AC68" s="14">
        <v>1438.124</v>
      </c>
      <c r="AD68" s="14">
        <v>22.63041015625</v>
      </c>
      <c r="AE68" s="14">
        <v>264.92679222429723</v>
      </c>
      <c r="AF68" s="14">
        <v>1823.3196712694362</v>
      </c>
      <c r="AG68" s="16">
        <v>0.25013957063103576</v>
      </c>
      <c r="AJ68" s="14">
        <v>1562</v>
      </c>
      <c r="AK68" s="15">
        <v>0.8677777777777778</v>
      </c>
      <c r="AL68" s="14">
        <v>19</v>
      </c>
      <c r="AM68" s="14">
        <v>137.9678088888889</v>
      </c>
      <c r="AN68" s="14">
        <v>4131.727</v>
      </c>
      <c r="AO68" s="14">
        <v>71.66296875</v>
      </c>
      <c r="AP68" s="14">
        <v>868.2715684660321</v>
      </c>
      <c r="AQ68" s="14">
        <v>5209.629346104921</v>
      </c>
      <c r="AR68" s="16">
        <v>0.7147043210882801</v>
      </c>
      <c r="AU68" s="14">
        <v>60</v>
      </c>
      <c r="AV68" s="15">
        <v>0.03333333333333333</v>
      </c>
      <c r="AW68" s="14">
        <v>0</v>
      </c>
      <c r="AX68" s="14">
        <v>7.486866666666667</v>
      </c>
      <c r="AY68" s="14">
        <v>121</v>
      </c>
      <c r="AZ68" s="14">
        <v>0</v>
      </c>
      <c r="BA68" s="14">
        <v>16.703292053993543</v>
      </c>
      <c r="BB68" s="14">
        <v>145.1901587206602</v>
      </c>
      <c r="BC68" s="16">
        <v>0.019918506082344082</v>
      </c>
    </row>
    <row r="69" spans="1:55" ht="12.75">
      <c r="A69" s="13">
        <v>5.3</v>
      </c>
      <c r="B69" s="19" t="s">
        <v>269</v>
      </c>
      <c r="C69" s="14">
        <v>3900</v>
      </c>
      <c r="D69" s="15">
        <v>2.1666666666666665</v>
      </c>
      <c r="E69" s="14">
        <v>2</v>
      </c>
      <c r="F69" s="14">
        <v>266.07079999999996</v>
      </c>
      <c r="G69" s="14">
        <v>1340.46</v>
      </c>
      <c r="H69" s="14">
        <v>7.34347021484375</v>
      </c>
      <c r="I69" s="14">
        <v>516.4397549254218</v>
      </c>
      <c r="J69" s="14">
        <v>2130.3140251402656</v>
      </c>
      <c r="K69" s="22"/>
      <c r="N69" s="14">
        <v>856</v>
      </c>
      <c r="O69" s="15">
        <v>0.47555555555555556</v>
      </c>
      <c r="P69" s="14">
        <v>0</v>
      </c>
      <c r="Q69" s="14">
        <v>60.66639555555556</v>
      </c>
      <c r="R69" s="14">
        <v>20</v>
      </c>
      <c r="S69" s="14">
        <v>0</v>
      </c>
      <c r="T69" s="14">
        <v>25.813246000806757</v>
      </c>
      <c r="U69" s="14">
        <v>106.47964155636232</v>
      </c>
      <c r="V69" s="16">
        <v>0.0499830730586076</v>
      </c>
      <c r="Y69" s="14">
        <v>1220</v>
      </c>
      <c r="Z69" s="15">
        <v>0.6777777777777778</v>
      </c>
      <c r="AA69" s="14">
        <v>0</v>
      </c>
      <c r="AB69" s="14">
        <v>88.21333333333332</v>
      </c>
      <c r="AC69" s="14">
        <v>0</v>
      </c>
      <c r="AD69" s="14">
        <v>0</v>
      </c>
      <c r="AE69" s="14">
        <v>28.228266035715738</v>
      </c>
      <c r="AF69" s="14">
        <v>116.44159936904906</v>
      </c>
      <c r="AG69" s="16">
        <v>0.05465935913433337</v>
      </c>
      <c r="AJ69" s="14">
        <v>1824</v>
      </c>
      <c r="AK69" s="15">
        <v>1.0133333333333334</v>
      </c>
      <c r="AL69" s="14">
        <v>2</v>
      </c>
      <c r="AM69" s="14">
        <v>117.19107111111111</v>
      </c>
      <c r="AN69" s="14">
        <v>1320.46</v>
      </c>
      <c r="AO69" s="14">
        <v>7.34347021484375</v>
      </c>
      <c r="AP69" s="14">
        <v>462.39824288889923</v>
      </c>
      <c r="AQ69" s="14">
        <v>1907.3927842148541</v>
      </c>
      <c r="AR69" s="16">
        <v>0.895357567807059</v>
      </c>
      <c r="AU69" s="14">
        <v>0</v>
      </c>
      <c r="AV69" s="15">
        <v>0</v>
      </c>
      <c r="AW69" s="14">
        <v>0</v>
      </c>
      <c r="AX69" s="14">
        <v>0</v>
      </c>
      <c r="AY69" s="14">
        <v>0</v>
      </c>
      <c r="AZ69" s="14">
        <v>0</v>
      </c>
      <c r="BA69" s="14">
        <v>0</v>
      </c>
      <c r="BB69" s="14">
        <v>0</v>
      </c>
      <c r="BC69" s="16">
        <v>0</v>
      </c>
    </row>
    <row r="70" spans="1:55" ht="12.75">
      <c r="A70" s="13">
        <v>5.4</v>
      </c>
      <c r="B70" s="19" t="s">
        <v>270</v>
      </c>
      <c r="C70" s="14">
        <v>1812</v>
      </c>
      <c r="D70" s="15">
        <v>1.0066666666666666</v>
      </c>
      <c r="E70" s="14">
        <v>0</v>
      </c>
      <c r="F70" s="14">
        <v>133.29594666666665</v>
      </c>
      <c r="G70" s="14">
        <v>36.05</v>
      </c>
      <c r="H70" s="14">
        <v>0</v>
      </c>
      <c r="I70" s="14">
        <v>27.095350861038366</v>
      </c>
      <c r="J70" s="14">
        <v>196.441297527705</v>
      </c>
      <c r="K70" s="22"/>
      <c r="N70" s="14">
        <v>170</v>
      </c>
      <c r="O70" s="15">
        <v>0.09444444444444444</v>
      </c>
      <c r="P70" s="14">
        <v>0</v>
      </c>
      <c r="Q70" s="14">
        <v>13.106611111111109</v>
      </c>
      <c r="R70" s="14">
        <v>0</v>
      </c>
      <c r="S70" s="14">
        <v>0</v>
      </c>
      <c r="T70" s="14">
        <v>2.0970577309048837</v>
      </c>
      <c r="U70" s="14">
        <v>15.203668842015993</v>
      </c>
      <c r="V70" s="16">
        <v>0.07739548166989557</v>
      </c>
      <c r="Y70" s="14">
        <v>647</v>
      </c>
      <c r="Z70" s="15">
        <v>0.35944444444444446</v>
      </c>
      <c r="AA70" s="14">
        <v>0</v>
      </c>
      <c r="AB70" s="14">
        <v>49.443685555555554</v>
      </c>
      <c r="AC70" s="14">
        <v>0</v>
      </c>
      <c r="AD70" s="14">
        <v>0</v>
      </c>
      <c r="AE70" s="14">
        <v>7.910989512064489</v>
      </c>
      <c r="AF70" s="14">
        <v>57.35467506762004</v>
      </c>
      <c r="AG70" s="16">
        <v>0.2919685208225173</v>
      </c>
      <c r="AJ70" s="14">
        <v>995</v>
      </c>
      <c r="AK70" s="15">
        <v>0.5527777777777778</v>
      </c>
      <c r="AL70" s="14">
        <v>0</v>
      </c>
      <c r="AM70" s="14">
        <v>70.74565</v>
      </c>
      <c r="AN70" s="14">
        <v>36.05</v>
      </c>
      <c r="AO70" s="14">
        <v>0</v>
      </c>
      <c r="AP70" s="14">
        <v>17.087303618068994</v>
      </c>
      <c r="AQ70" s="14">
        <v>123.882953618069</v>
      </c>
      <c r="AR70" s="16">
        <v>0.6306359975075874</v>
      </c>
      <c r="AU70" s="14">
        <v>0</v>
      </c>
      <c r="AV70" s="15">
        <v>0</v>
      </c>
      <c r="AW70" s="14">
        <v>0</v>
      </c>
      <c r="AX70" s="14">
        <v>0</v>
      </c>
      <c r="AY70" s="14">
        <v>0</v>
      </c>
      <c r="AZ70" s="14">
        <v>0</v>
      </c>
      <c r="BA70" s="14">
        <v>0</v>
      </c>
      <c r="BB70" s="14">
        <v>0</v>
      </c>
      <c r="BC70" s="16">
        <v>0</v>
      </c>
    </row>
    <row r="71" spans="1:55" ht="12.75">
      <c r="A71" s="13">
        <v>5.5</v>
      </c>
      <c r="B71" s="19" t="s">
        <v>271</v>
      </c>
      <c r="C71" s="14">
        <v>8105</v>
      </c>
      <c r="D71" s="15">
        <v>4.502777777777778</v>
      </c>
      <c r="E71" s="14">
        <v>0</v>
      </c>
      <c r="F71" s="14">
        <v>543.2380833333334</v>
      </c>
      <c r="G71" s="14">
        <v>126.39439</v>
      </c>
      <c r="H71" s="14">
        <v>0</v>
      </c>
      <c r="I71" s="14">
        <v>107.141193338541</v>
      </c>
      <c r="J71" s="14">
        <v>776.7736666718745</v>
      </c>
      <c r="K71" s="22"/>
      <c r="N71" s="14">
        <v>910</v>
      </c>
      <c r="O71" s="15">
        <v>0.5055555555555555</v>
      </c>
      <c r="P71" s="14">
        <v>0</v>
      </c>
      <c r="Q71" s="14">
        <v>75.25012222222222</v>
      </c>
      <c r="R71" s="14">
        <v>0</v>
      </c>
      <c r="S71" s="14">
        <v>0</v>
      </c>
      <c r="T71" s="14">
        <v>12.040019286440145</v>
      </c>
      <c r="U71" s="14">
        <v>87.29014150866236</v>
      </c>
      <c r="V71" s="16">
        <v>0.11237525839754754</v>
      </c>
      <c r="Y71" s="14">
        <v>2610</v>
      </c>
      <c r="Z71" s="15">
        <v>1.45</v>
      </c>
      <c r="AA71" s="14">
        <v>0</v>
      </c>
      <c r="AB71" s="14">
        <v>208.23106666666666</v>
      </c>
      <c r="AC71" s="14">
        <v>0</v>
      </c>
      <c r="AD71" s="14">
        <v>0</v>
      </c>
      <c r="AE71" s="14">
        <v>33.31696992197434</v>
      </c>
      <c r="AF71" s="14">
        <v>241.548036588641</v>
      </c>
      <c r="AG71" s="16">
        <v>0.3109632148365245</v>
      </c>
      <c r="AJ71" s="14">
        <v>4585</v>
      </c>
      <c r="AK71" s="15">
        <v>2.547222222222222</v>
      </c>
      <c r="AL71" s="14">
        <v>0</v>
      </c>
      <c r="AM71" s="14">
        <v>259.75689444444447</v>
      </c>
      <c r="AN71" s="14">
        <v>126.39439</v>
      </c>
      <c r="AO71" s="14">
        <v>0</v>
      </c>
      <c r="AP71" s="14">
        <v>61.784204130126504</v>
      </c>
      <c r="AQ71" s="14">
        <v>447.93548857457097</v>
      </c>
      <c r="AR71" s="16">
        <v>0.5766615267659277</v>
      </c>
      <c r="AU71" s="14">
        <v>0</v>
      </c>
      <c r="AV71" s="15">
        <v>0</v>
      </c>
      <c r="AW71" s="14">
        <v>0</v>
      </c>
      <c r="AX71" s="14">
        <v>0</v>
      </c>
      <c r="AY71" s="14">
        <v>0</v>
      </c>
      <c r="AZ71" s="14">
        <v>0</v>
      </c>
      <c r="BA71" s="14">
        <v>0</v>
      </c>
      <c r="BB71" s="14">
        <v>0</v>
      </c>
      <c r="BC71" s="16">
        <v>0</v>
      </c>
    </row>
    <row r="72" spans="1:55" ht="12.75">
      <c r="A72" s="13">
        <v>5.6</v>
      </c>
      <c r="B72" s="19" t="s">
        <v>272</v>
      </c>
      <c r="C72" s="14">
        <v>3126</v>
      </c>
      <c r="D72" s="15">
        <v>1.7366666666666666</v>
      </c>
      <c r="E72" s="14">
        <v>0</v>
      </c>
      <c r="F72" s="14">
        <v>192.88662611111113</v>
      </c>
      <c r="G72" s="14">
        <v>72.1</v>
      </c>
      <c r="H72" s="14">
        <v>0</v>
      </c>
      <c r="I72" s="14">
        <v>95.3951891906641</v>
      </c>
      <c r="J72" s="14">
        <v>360.38181530177525</v>
      </c>
      <c r="K72" s="22"/>
      <c r="N72" s="14">
        <v>48</v>
      </c>
      <c r="O72" s="15">
        <v>0.02666666666666667</v>
      </c>
      <c r="P72" s="14">
        <v>0</v>
      </c>
      <c r="Q72" s="14">
        <v>3.6886755555555557</v>
      </c>
      <c r="R72" s="14">
        <v>0</v>
      </c>
      <c r="S72" s="14">
        <v>0</v>
      </c>
      <c r="T72" s="14">
        <v>1.3279232527669271</v>
      </c>
      <c r="U72" s="14">
        <v>5.016598808322483</v>
      </c>
      <c r="V72" s="16">
        <v>0.013920232917750583</v>
      </c>
      <c r="Y72" s="14">
        <v>48</v>
      </c>
      <c r="Z72" s="15">
        <v>0.02666666666666667</v>
      </c>
      <c r="AA72" s="14">
        <v>0</v>
      </c>
      <c r="AB72" s="14">
        <v>3.6886755555555557</v>
      </c>
      <c r="AC72" s="14">
        <v>0</v>
      </c>
      <c r="AD72" s="14">
        <v>0</v>
      </c>
      <c r="AE72" s="14">
        <v>1.3279232527669271</v>
      </c>
      <c r="AF72" s="14">
        <v>5.016598808322483</v>
      </c>
      <c r="AG72" s="16">
        <v>0.013920232917750583</v>
      </c>
      <c r="AJ72" s="14">
        <v>3030</v>
      </c>
      <c r="AK72" s="15">
        <v>1.6833333333333333</v>
      </c>
      <c r="AL72" s="14">
        <v>0</v>
      </c>
      <c r="AM72" s="14">
        <v>185.509275</v>
      </c>
      <c r="AN72" s="14">
        <v>72.1</v>
      </c>
      <c r="AO72" s="14">
        <v>0</v>
      </c>
      <c r="AP72" s="14">
        <v>92.73934268513024</v>
      </c>
      <c r="AQ72" s="14">
        <v>350.34861768513025</v>
      </c>
      <c r="AR72" s="16">
        <v>0.9721595341644987</v>
      </c>
      <c r="AU72" s="14">
        <v>0</v>
      </c>
      <c r="AV72" s="15">
        <v>0</v>
      </c>
      <c r="AW72" s="14">
        <v>0</v>
      </c>
      <c r="AX72" s="14">
        <v>0</v>
      </c>
      <c r="AY72" s="14">
        <v>0</v>
      </c>
      <c r="AZ72" s="14">
        <v>0</v>
      </c>
      <c r="BA72" s="14">
        <v>0</v>
      </c>
      <c r="BB72" s="14">
        <v>0</v>
      </c>
      <c r="BC72" s="16">
        <v>0</v>
      </c>
    </row>
    <row r="73" spans="1:56" ht="12.75">
      <c r="A73" s="8">
        <v>6</v>
      </c>
      <c r="B73" s="9" t="s">
        <v>273</v>
      </c>
      <c r="C73" s="25"/>
      <c r="D73" s="25"/>
      <c r="E73" s="25"/>
      <c r="F73" s="25"/>
      <c r="G73" s="25"/>
      <c r="H73" s="25"/>
      <c r="I73" s="25"/>
      <c r="J73" s="25"/>
      <c r="K73" s="11">
        <v>0.042659730527957344</v>
      </c>
      <c r="L73" s="12">
        <v>1801.3828466697432</v>
      </c>
      <c r="N73" s="25"/>
      <c r="O73" s="25"/>
      <c r="P73" s="25"/>
      <c r="Q73" s="25"/>
      <c r="R73" s="25"/>
      <c r="S73" s="25"/>
      <c r="T73" s="25"/>
      <c r="U73" s="25"/>
      <c r="V73" s="25"/>
      <c r="W73" s="12">
        <v>185.41271188754348</v>
      </c>
      <c r="Y73" s="25"/>
      <c r="Z73" s="25"/>
      <c r="AA73" s="25"/>
      <c r="AB73" s="25"/>
      <c r="AC73" s="25"/>
      <c r="AD73" s="25"/>
      <c r="AE73" s="25"/>
      <c r="AF73" s="25"/>
      <c r="AG73" s="25"/>
      <c r="AH73" s="12">
        <v>849.7563866395409</v>
      </c>
      <c r="AJ73" s="25"/>
      <c r="AK73" s="25"/>
      <c r="AL73" s="25"/>
      <c r="AM73" s="25"/>
      <c r="AN73" s="25"/>
      <c r="AO73" s="25"/>
      <c r="AP73" s="25"/>
      <c r="AQ73" s="25"/>
      <c r="AR73" s="25"/>
      <c r="AS73" s="12">
        <v>766.2137481426591</v>
      </c>
      <c r="AU73" s="25"/>
      <c r="AV73" s="25"/>
      <c r="AW73" s="25"/>
      <c r="AX73" s="25"/>
      <c r="AY73" s="25"/>
      <c r="AZ73" s="25"/>
      <c r="BA73" s="25"/>
      <c r="BB73" s="25"/>
      <c r="BC73" s="25"/>
      <c r="BD73" s="12">
        <v>0</v>
      </c>
    </row>
    <row r="74" spans="1:55" ht="12.75">
      <c r="A74" s="13">
        <v>6.1</v>
      </c>
      <c r="B74" s="19" t="s">
        <v>274</v>
      </c>
      <c r="K74" s="22"/>
      <c r="V74" s="22" t="s">
        <v>527</v>
      </c>
      <c r="AG74" s="22" t="s">
        <v>527</v>
      </c>
      <c r="AR74" s="22" t="s">
        <v>527</v>
      </c>
      <c r="BC74" s="22" t="s">
        <v>527</v>
      </c>
    </row>
    <row r="75" spans="1:55" ht="12.75">
      <c r="A75" s="23" t="s">
        <v>275</v>
      </c>
      <c r="B75" s="19" t="s">
        <v>276</v>
      </c>
      <c r="C75" s="14">
        <v>2120</v>
      </c>
      <c r="D75" s="15">
        <v>1.1777777777777778</v>
      </c>
      <c r="E75" s="14">
        <v>0</v>
      </c>
      <c r="F75" s="14">
        <v>182.3846888888889</v>
      </c>
      <c r="G75" s="14">
        <v>0</v>
      </c>
      <c r="H75" s="14">
        <v>0</v>
      </c>
      <c r="I75" s="14">
        <v>23.84197448592484</v>
      </c>
      <c r="J75" s="14">
        <v>206.22666337481374</v>
      </c>
      <c r="K75" s="22"/>
      <c r="N75" s="14">
        <v>180</v>
      </c>
      <c r="O75" s="15">
        <v>0.1</v>
      </c>
      <c r="P75" s="14">
        <v>0</v>
      </c>
      <c r="Q75" s="14">
        <v>17.662200000000002</v>
      </c>
      <c r="R75" s="14">
        <v>0</v>
      </c>
      <c r="S75" s="14">
        <v>0</v>
      </c>
      <c r="T75" s="14">
        <v>1.9428419894725084</v>
      </c>
      <c r="U75" s="14">
        <v>19.60504198947251</v>
      </c>
      <c r="V75" s="16">
        <v>0.09506550544262385</v>
      </c>
      <c r="Y75" s="14">
        <v>1120</v>
      </c>
      <c r="Z75" s="15">
        <v>0.6222222222222222</v>
      </c>
      <c r="AA75" s="14">
        <v>0</v>
      </c>
      <c r="AB75" s="14">
        <v>101.72817777777777</v>
      </c>
      <c r="AC75" s="14">
        <v>0</v>
      </c>
      <c r="AD75" s="14">
        <v>0</v>
      </c>
      <c r="AE75" s="14">
        <v>11.190099494920837</v>
      </c>
      <c r="AF75" s="14">
        <v>112.91827727269862</v>
      </c>
      <c r="AG75" s="16">
        <v>0.5475445096421475</v>
      </c>
      <c r="AJ75" s="14">
        <v>820</v>
      </c>
      <c r="AK75" s="15">
        <v>0.45555555555555555</v>
      </c>
      <c r="AL75" s="14">
        <v>0</v>
      </c>
      <c r="AM75" s="14">
        <v>62.99431111111111</v>
      </c>
      <c r="AN75" s="14">
        <v>0</v>
      </c>
      <c r="AO75" s="14">
        <v>0</v>
      </c>
      <c r="AP75" s="14">
        <v>10.709033001531495</v>
      </c>
      <c r="AQ75" s="14">
        <v>73.70334411264261</v>
      </c>
      <c r="AR75" s="16">
        <v>0.3573899849152286</v>
      </c>
      <c r="AU75" s="14">
        <v>0</v>
      </c>
      <c r="AV75" s="15">
        <v>0</v>
      </c>
      <c r="AW75" s="14">
        <v>0</v>
      </c>
      <c r="AX75" s="14">
        <v>0</v>
      </c>
      <c r="AY75" s="14">
        <v>0</v>
      </c>
      <c r="AZ75" s="14">
        <v>0</v>
      </c>
      <c r="BA75" s="14">
        <v>0</v>
      </c>
      <c r="BB75" s="14">
        <v>0</v>
      </c>
      <c r="BC75" s="16">
        <v>0</v>
      </c>
    </row>
    <row r="76" spans="1:55" ht="12.75">
      <c r="A76" s="23" t="s">
        <v>277</v>
      </c>
      <c r="B76" s="19" t="s">
        <v>278</v>
      </c>
      <c r="C76" s="14">
        <v>980</v>
      </c>
      <c r="D76" s="15">
        <v>0.5444444444444444</v>
      </c>
      <c r="E76" s="14">
        <v>0</v>
      </c>
      <c r="F76" s="14">
        <v>83.90593333333334</v>
      </c>
      <c r="G76" s="14">
        <v>0</v>
      </c>
      <c r="H76" s="14">
        <v>0</v>
      </c>
      <c r="I76" s="14">
        <v>11.153289359759953</v>
      </c>
      <c r="J76" s="14">
        <v>95.05922269309329</v>
      </c>
      <c r="K76" s="22"/>
      <c r="N76" s="14">
        <v>100</v>
      </c>
      <c r="O76" s="15">
        <v>0.05555555555555555</v>
      </c>
      <c r="P76" s="14">
        <v>0</v>
      </c>
      <c r="Q76" s="14">
        <v>9.812333333333333</v>
      </c>
      <c r="R76" s="14">
        <v>0</v>
      </c>
      <c r="S76" s="14">
        <v>0</v>
      </c>
      <c r="T76" s="14">
        <v>1.0793566608180605</v>
      </c>
      <c r="U76" s="14">
        <v>10.891689994151394</v>
      </c>
      <c r="V76" s="16">
        <v>0.11457794084132301</v>
      </c>
      <c r="Y76" s="14">
        <v>470</v>
      </c>
      <c r="Z76" s="15">
        <v>0.2611111111111111</v>
      </c>
      <c r="AA76" s="14">
        <v>0</v>
      </c>
      <c r="AB76" s="14">
        <v>42.03298888888889</v>
      </c>
      <c r="AC76" s="14">
        <v>0</v>
      </c>
      <c r="AD76" s="14">
        <v>0</v>
      </c>
      <c r="AE76" s="14">
        <v>4.623628752724164</v>
      </c>
      <c r="AF76" s="14">
        <v>46.65661764161305</v>
      </c>
      <c r="AG76" s="16">
        <v>0.4908163176575499</v>
      </c>
      <c r="AJ76" s="14">
        <v>410</v>
      </c>
      <c r="AK76" s="15">
        <v>0.22777777777777777</v>
      </c>
      <c r="AL76" s="14">
        <v>0</v>
      </c>
      <c r="AM76" s="14">
        <v>32.06061111111111</v>
      </c>
      <c r="AN76" s="14">
        <v>0</v>
      </c>
      <c r="AO76" s="14">
        <v>0</v>
      </c>
      <c r="AP76" s="14">
        <v>5.450303946217728</v>
      </c>
      <c r="AQ76" s="14">
        <v>37.51091505732884</v>
      </c>
      <c r="AR76" s="16">
        <v>0.39460574150112704</v>
      </c>
      <c r="AU76" s="14">
        <v>0</v>
      </c>
      <c r="AV76" s="15">
        <v>0</v>
      </c>
      <c r="AW76" s="14">
        <v>0</v>
      </c>
      <c r="AX76" s="14">
        <v>0</v>
      </c>
      <c r="AY76" s="14">
        <v>0</v>
      </c>
      <c r="AZ76" s="14">
        <v>0</v>
      </c>
      <c r="BA76" s="14">
        <v>0</v>
      </c>
      <c r="BB76" s="14">
        <v>0</v>
      </c>
      <c r="BC76" s="16">
        <v>0</v>
      </c>
    </row>
    <row r="77" spans="1:55" ht="12.75">
      <c r="A77" s="23" t="s">
        <v>279</v>
      </c>
      <c r="B77" s="19" t="s">
        <v>280</v>
      </c>
      <c r="C77" s="14">
        <v>2520</v>
      </c>
      <c r="D77" s="15">
        <v>1.4</v>
      </c>
      <c r="E77" s="14">
        <v>0</v>
      </c>
      <c r="F77" s="14">
        <v>212.03786666666667</v>
      </c>
      <c r="G77" s="14">
        <v>0</v>
      </c>
      <c r="H77" s="14">
        <v>0</v>
      </c>
      <c r="I77" s="14">
        <v>27.632828044826454</v>
      </c>
      <c r="J77" s="14">
        <v>239.67069471149313</v>
      </c>
      <c r="K77" s="22"/>
      <c r="N77" s="14">
        <v>240</v>
      </c>
      <c r="O77" s="15">
        <v>0.13333333333333333</v>
      </c>
      <c r="P77" s="14">
        <v>0</v>
      </c>
      <c r="Q77" s="14">
        <v>23.549599999999998</v>
      </c>
      <c r="R77" s="14">
        <v>0</v>
      </c>
      <c r="S77" s="14">
        <v>0</v>
      </c>
      <c r="T77" s="14">
        <v>2.5904559859633447</v>
      </c>
      <c r="U77" s="14">
        <v>26.140055985963343</v>
      </c>
      <c r="V77" s="16">
        <v>0.10906655074134029</v>
      </c>
      <c r="Y77" s="14">
        <v>1340</v>
      </c>
      <c r="Z77" s="15">
        <v>0.7444444444444445</v>
      </c>
      <c r="AA77" s="14">
        <v>0</v>
      </c>
      <c r="AB77" s="14">
        <v>116.67722222222221</v>
      </c>
      <c r="AC77" s="14">
        <v>0</v>
      </c>
      <c r="AD77" s="14">
        <v>0</v>
      </c>
      <c r="AE77" s="14">
        <v>12.834494374899402</v>
      </c>
      <c r="AF77" s="14">
        <v>129.51171659712162</v>
      </c>
      <c r="AG77" s="16">
        <v>0.5403736020084688</v>
      </c>
      <c r="AJ77" s="14">
        <v>940</v>
      </c>
      <c r="AK77" s="15">
        <v>0.5222222222222223</v>
      </c>
      <c r="AL77" s="14">
        <v>0</v>
      </c>
      <c r="AM77" s="14">
        <v>71.81104444444445</v>
      </c>
      <c r="AN77" s="14">
        <v>0</v>
      </c>
      <c r="AO77" s="14">
        <v>0</v>
      </c>
      <c r="AP77" s="14">
        <v>12.207877683963709</v>
      </c>
      <c r="AQ77" s="14">
        <v>84.01892212840815</v>
      </c>
      <c r="AR77" s="16">
        <v>0.35055984725019085</v>
      </c>
      <c r="AU77" s="14">
        <v>0</v>
      </c>
      <c r="AV77" s="15">
        <v>0</v>
      </c>
      <c r="AW77" s="14">
        <v>0</v>
      </c>
      <c r="AX77" s="14">
        <v>0</v>
      </c>
      <c r="AY77" s="14">
        <v>0</v>
      </c>
      <c r="AZ77" s="14">
        <v>0</v>
      </c>
      <c r="BA77" s="14">
        <v>0</v>
      </c>
      <c r="BB77" s="14">
        <v>0</v>
      </c>
      <c r="BC77" s="16">
        <v>0</v>
      </c>
    </row>
    <row r="78" spans="1:55" ht="12.75">
      <c r="A78" s="23" t="s">
        <v>281</v>
      </c>
      <c r="B78" s="19" t="s">
        <v>282</v>
      </c>
      <c r="C78" s="14">
        <v>1230</v>
      </c>
      <c r="D78" s="15">
        <v>0.6833333333333333</v>
      </c>
      <c r="E78" s="14">
        <v>0</v>
      </c>
      <c r="F78" s="14">
        <v>105.26736666666667</v>
      </c>
      <c r="G78" s="14">
        <v>0</v>
      </c>
      <c r="H78" s="14">
        <v>0</v>
      </c>
      <c r="I78" s="14">
        <v>17.306712498171628</v>
      </c>
      <c r="J78" s="14">
        <v>122.57407916483831</v>
      </c>
      <c r="K78" s="22"/>
      <c r="N78" s="14">
        <v>100</v>
      </c>
      <c r="O78" s="15">
        <v>0.05555555555555555</v>
      </c>
      <c r="P78" s="14">
        <v>0</v>
      </c>
      <c r="Q78" s="14">
        <v>9.812333333333333</v>
      </c>
      <c r="R78" s="14">
        <v>0</v>
      </c>
      <c r="S78" s="14">
        <v>0</v>
      </c>
      <c r="T78" s="14">
        <v>1.0793566608180605</v>
      </c>
      <c r="U78" s="14">
        <v>10.891689994151394</v>
      </c>
      <c r="V78" s="16">
        <v>0.08885802013249626</v>
      </c>
      <c r="Y78" s="14">
        <v>600</v>
      </c>
      <c r="Z78" s="15">
        <v>0.3333333333333333</v>
      </c>
      <c r="AA78" s="14">
        <v>0</v>
      </c>
      <c r="AB78" s="14">
        <v>54.78902222222222</v>
      </c>
      <c r="AC78" s="14">
        <v>0</v>
      </c>
      <c r="AD78" s="14">
        <v>0</v>
      </c>
      <c r="AE78" s="14">
        <v>9.314133875748185</v>
      </c>
      <c r="AF78" s="14">
        <v>64.10315609797041</v>
      </c>
      <c r="AG78" s="16">
        <v>0.5229748127396832</v>
      </c>
      <c r="AJ78" s="14">
        <v>530</v>
      </c>
      <c r="AK78" s="15">
        <v>0.29444444444444445</v>
      </c>
      <c r="AL78" s="14">
        <v>0</v>
      </c>
      <c r="AM78" s="14">
        <v>40.66601111111111</v>
      </c>
      <c r="AN78" s="14">
        <v>0</v>
      </c>
      <c r="AO78" s="14">
        <v>0</v>
      </c>
      <c r="AP78" s="14">
        <v>6.913221961605384</v>
      </c>
      <c r="AQ78" s="14">
        <v>47.57923307271649</v>
      </c>
      <c r="AR78" s="16">
        <v>0.3881671671278205</v>
      </c>
      <c r="AU78" s="14">
        <v>0</v>
      </c>
      <c r="AV78" s="15">
        <v>0</v>
      </c>
      <c r="AW78" s="14">
        <v>0</v>
      </c>
      <c r="AX78" s="14">
        <v>0</v>
      </c>
      <c r="AY78" s="14">
        <v>0</v>
      </c>
      <c r="AZ78" s="14">
        <v>0</v>
      </c>
      <c r="BA78" s="14">
        <v>0</v>
      </c>
      <c r="BB78" s="14">
        <v>0</v>
      </c>
      <c r="BC78" s="16">
        <v>0</v>
      </c>
    </row>
    <row r="79" spans="1:55" ht="12.75">
      <c r="A79" s="23">
        <v>6.2</v>
      </c>
      <c r="B79" s="19" t="s">
        <v>283</v>
      </c>
      <c r="K79" s="22"/>
      <c r="V79" s="22" t="s">
        <v>527</v>
      </c>
      <c r="AG79" s="22" t="s">
        <v>527</v>
      </c>
      <c r="AR79" s="22" t="s">
        <v>527</v>
      </c>
      <c r="BC79" s="22" t="s">
        <v>527</v>
      </c>
    </row>
    <row r="80" spans="1:55" ht="12.75">
      <c r="A80" s="23" t="s">
        <v>284</v>
      </c>
      <c r="B80" s="19" t="s">
        <v>285</v>
      </c>
      <c r="C80" s="14">
        <v>1110</v>
      </c>
      <c r="D80" s="15">
        <v>0.6166666666666667</v>
      </c>
      <c r="E80" s="14">
        <v>0</v>
      </c>
      <c r="F80" s="14">
        <v>96.55630000000001</v>
      </c>
      <c r="G80" s="14">
        <v>0</v>
      </c>
      <c r="H80" s="14">
        <v>0</v>
      </c>
      <c r="I80" s="14">
        <v>10.60736408816543</v>
      </c>
      <c r="J80" s="14">
        <v>107.16366408816543</v>
      </c>
      <c r="K80" s="22"/>
      <c r="N80" s="14">
        <v>180</v>
      </c>
      <c r="O80" s="15">
        <v>0.1</v>
      </c>
      <c r="P80" s="14">
        <v>0</v>
      </c>
      <c r="Q80" s="14">
        <v>17.662200000000002</v>
      </c>
      <c r="R80" s="14">
        <v>0</v>
      </c>
      <c r="S80" s="14">
        <v>0</v>
      </c>
      <c r="T80" s="14">
        <v>1.5895980631649496</v>
      </c>
      <c r="U80" s="14">
        <v>19.25179806316495</v>
      </c>
      <c r="V80" s="16">
        <v>0.1796485611701944</v>
      </c>
      <c r="Y80" s="14">
        <v>520</v>
      </c>
      <c r="Z80" s="15">
        <v>0.28888888888888886</v>
      </c>
      <c r="AA80" s="14">
        <v>0</v>
      </c>
      <c r="AB80" s="14">
        <v>46.93915555555555</v>
      </c>
      <c r="AC80" s="14">
        <v>0</v>
      </c>
      <c r="AD80" s="14">
        <v>0</v>
      </c>
      <c r="AE80" s="14">
        <v>4.224524167867501</v>
      </c>
      <c r="AF80" s="14">
        <v>51.16367972342305</v>
      </c>
      <c r="AG80" s="16">
        <v>0.47743496042958916</v>
      </c>
      <c r="AJ80" s="14">
        <v>410</v>
      </c>
      <c r="AK80" s="15">
        <v>0.22777777777777777</v>
      </c>
      <c r="AL80" s="14">
        <v>0</v>
      </c>
      <c r="AM80" s="14">
        <v>31.954944444444447</v>
      </c>
      <c r="AN80" s="14">
        <v>0</v>
      </c>
      <c r="AO80" s="14">
        <v>0</v>
      </c>
      <c r="AP80" s="14">
        <v>4.793241857132978</v>
      </c>
      <c r="AQ80" s="14">
        <v>36.74818630157743</v>
      </c>
      <c r="AR80" s="16">
        <v>0.3429164784002164</v>
      </c>
      <c r="AU80" s="14">
        <v>0</v>
      </c>
      <c r="AV80" s="15">
        <v>0</v>
      </c>
      <c r="AW80" s="14">
        <v>0</v>
      </c>
      <c r="AX80" s="14">
        <v>0</v>
      </c>
      <c r="AY80" s="14">
        <v>0</v>
      </c>
      <c r="AZ80" s="14">
        <v>0</v>
      </c>
      <c r="BA80" s="14">
        <v>0</v>
      </c>
      <c r="BB80" s="14">
        <v>0</v>
      </c>
      <c r="BC80" s="16">
        <v>0</v>
      </c>
    </row>
    <row r="81" spans="1:55" ht="12.75">
      <c r="A81" s="23" t="s">
        <v>286</v>
      </c>
      <c r="B81" s="19" t="s">
        <v>287</v>
      </c>
      <c r="C81" s="14">
        <v>750</v>
      </c>
      <c r="D81" s="15">
        <v>0.4166666666666667</v>
      </c>
      <c r="E81" s="14">
        <v>0</v>
      </c>
      <c r="F81" s="14">
        <v>64.40129999999999</v>
      </c>
      <c r="G81" s="14">
        <v>0</v>
      </c>
      <c r="H81" s="14">
        <v>0</v>
      </c>
      <c r="I81" s="14">
        <v>7.4866586308264065</v>
      </c>
      <c r="J81" s="14">
        <v>71.8879586308264</v>
      </c>
      <c r="K81" s="22"/>
      <c r="N81" s="14">
        <v>80</v>
      </c>
      <c r="O81" s="15">
        <v>0.044444444444444446</v>
      </c>
      <c r="P81" s="14">
        <v>0</v>
      </c>
      <c r="Q81" s="14">
        <v>7.849866666666667</v>
      </c>
      <c r="R81" s="14">
        <v>0</v>
      </c>
      <c r="S81" s="14">
        <v>0</v>
      </c>
      <c r="T81" s="14">
        <v>0.7064880280733108</v>
      </c>
      <c r="U81" s="14">
        <v>8.556354694739978</v>
      </c>
      <c r="V81" s="16">
        <v>0.11902347566551866</v>
      </c>
      <c r="Y81" s="14">
        <v>310</v>
      </c>
      <c r="Z81" s="15">
        <v>0.17222222222222222</v>
      </c>
      <c r="AA81" s="14">
        <v>0</v>
      </c>
      <c r="AB81" s="14">
        <v>28.375744444444447</v>
      </c>
      <c r="AC81" s="14">
        <v>0</v>
      </c>
      <c r="AD81" s="14">
        <v>0</v>
      </c>
      <c r="AE81" s="14">
        <v>2.55381710147957</v>
      </c>
      <c r="AF81" s="14">
        <v>30.929561545924017</v>
      </c>
      <c r="AG81" s="16">
        <v>0.43024676364451747</v>
      </c>
      <c r="AJ81" s="14">
        <v>360</v>
      </c>
      <c r="AK81" s="15">
        <v>0.2</v>
      </c>
      <c r="AL81" s="14">
        <v>0</v>
      </c>
      <c r="AM81" s="14">
        <v>28.175688888888885</v>
      </c>
      <c r="AN81" s="14">
        <v>0</v>
      </c>
      <c r="AO81" s="14">
        <v>0</v>
      </c>
      <c r="AP81" s="14">
        <v>4.226353501273525</v>
      </c>
      <c r="AQ81" s="14">
        <v>32.40204239016241</v>
      </c>
      <c r="AR81" s="16">
        <v>0.45072976068996384</v>
      </c>
      <c r="AU81" s="14">
        <v>0</v>
      </c>
      <c r="AV81" s="15">
        <v>0</v>
      </c>
      <c r="AW81" s="14">
        <v>0</v>
      </c>
      <c r="AX81" s="14">
        <v>0</v>
      </c>
      <c r="AY81" s="14">
        <v>0</v>
      </c>
      <c r="AZ81" s="14">
        <v>0</v>
      </c>
      <c r="BA81" s="14">
        <v>0</v>
      </c>
      <c r="BB81" s="14">
        <v>0</v>
      </c>
      <c r="BC81" s="16">
        <v>0</v>
      </c>
    </row>
    <row r="82" spans="1:55" ht="12.75">
      <c r="A82" s="23" t="s">
        <v>288</v>
      </c>
      <c r="B82" s="19" t="s">
        <v>289</v>
      </c>
      <c r="C82" s="14">
        <v>1790</v>
      </c>
      <c r="D82" s="15">
        <v>0.9944444444444445</v>
      </c>
      <c r="E82" s="14">
        <v>0</v>
      </c>
      <c r="F82" s="14">
        <v>152.40745555555554</v>
      </c>
      <c r="G82" s="14">
        <v>0</v>
      </c>
      <c r="H82" s="14">
        <v>0</v>
      </c>
      <c r="I82" s="14">
        <v>17.328449021904003</v>
      </c>
      <c r="J82" s="14">
        <v>169.73590457745954</v>
      </c>
      <c r="K82" s="22"/>
      <c r="N82" s="14">
        <v>240</v>
      </c>
      <c r="O82" s="15">
        <v>0.13333333333333333</v>
      </c>
      <c r="P82" s="14">
        <v>0</v>
      </c>
      <c r="Q82" s="14">
        <v>23.549599999999998</v>
      </c>
      <c r="R82" s="14">
        <v>0</v>
      </c>
      <c r="S82" s="14">
        <v>0</v>
      </c>
      <c r="T82" s="14">
        <v>2.119464084219932</v>
      </c>
      <c r="U82" s="14">
        <v>25.66906408421993</v>
      </c>
      <c r="V82" s="16">
        <v>0.15122942990830657</v>
      </c>
      <c r="Y82" s="14">
        <v>770</v>
      </c>
      <c r="Z82" s="15">
        <v>0.42777777777777776</v>
      </c>
      <c r="AA82" s="14">
        <v>0</v>
      </c>
      <c r="AB82" s="14">
        <v>68.66156666666667</v>
      </c>
      <c r="AC82" s="14">
        <v>0</v>
      </c>
      <c r="AD82" s="14">
        <v>0</v>
      </c>
      <c r="AE82" s="14">
        <v>6.1795412455528975</v>
      </c>
      <c r="AF82" s="14">
        <v>74.84110791221957</v>
      </c>
      <c r="AG82" s="16">
        <v>0.44092679211584007</v>
      </c>
      <c r="AJ82" s="14">
        <v>780</v>
      </c>
      <c r="AK82" s="15">
        <v>0.43333333333333335</v>
      </c>
      <c r="AL82" s="14">
        <v>0</v>
      </c>
      <c r="AM82" s="14">
        <v>60.19628888888889</v>
      </c>
      <c r="AN82" s="14">
        <v>0</v>
      </c>
      <c r="AO82" s="14">
        <v>0</v>
      </c>
      <c r="AP82" s="14">
        <v>9.029443692131174</v>
      </c>
      <c r="AQ82" s="14">
        <v>69.22573258102005</v>
      </c>
      <c r="AR82" s="16">
        <v>0.40784377797585347</v>
      </c>
      <c r="AU82" s="14">
        <v>0</v>
      </c>
      <c r="AV82" s="15">
        <v>0</v>
      </c>
      <c r="AW82" s="14">
        <v>0</v>
      </c>
      <c r="AX82" s="14">
        <v>0</v>
      </c>
      <c r="AY82" s="14">
        <v>0</v>
      </c>
      <c r="AZ82" s="14">
        <v>0</v>
      </c>
      <c r="BA82" s="14">
        <v>0</v>
      </c>
      <c r="BB82" s="14">
        <v>0</v>
      </c>
      <c r="BC82" s="16">
        <v>0</v>
      </c>
    </row>
    <row r="83" spans="1:55" ht="12.75">
      <c r="A83" s="23">
        <v>6.3</v>
      </c>
      <c r="B83" s="19" t="s">
        <v>290</v>
      </c>
      <c r="K83" s="22"/>
      <c r="V83" s="22" t="s">
        <v>527</v>
      </c>
      <c r="AG83" s="22" t="s">
        <v>527</v>
      </c>
      <c r="AR83" s="22" t="s">
        <v>527</v>
      </c>
      <c r="BC83" s="22" t="s">
        <v>527</v>
      </c>
    </row>
    <row r="84" spans="1:55" ht="12.75">
      <c r="A84" s="23" t="s">
        <v>291</v>
      </c>
      <c r="B84" s="13" t="s">
        <v>292</v>
      </c>
      <c r="C84" s="14">
        <v>300</v>
      </c>
      <c r="D84" s="15">
        <v>0.16666666666666666</v>
      </c>
      <c r="E84" s="14">
        <v>0</v>
      </c>
      <c r="F84" s="14">
        <v>24.8414</v>
      </c>
      <c r="G84" s="14">
        <v>0</v>
      </c>
      <c r="H84" s="14">
        <v>0</v>
      </c>
      <c r="I84" s="14">
        <v>1.4904839666850864</v>
      </c>
      <c r="J84" s="14">
        <v>26.331883966685087</v>
      </c>
      <c r="K84" s="22"/>
      <c r="N84" s="14">
        <v>20</v>
      </c>
      <c r="O84" s="15">
        <v>0.011111111111111112</v>
      </c>
      <c r="P84" s="14">
        <v>0</v>
      </c>
      <c r="Q84" s="14">
        <v>1.9624666666666668</v>
      </c>
      <c r="R84" s="14">
        <v>0</v>
      </c>
      <c r="S84" s="14">
        <v>0</v>
      </c>
      <c r="T84" s="14">
        <v>0.11774799736812712</v>
      </c>
      <c r="U84" s="14">
        <v>2.080214664034794</v>
      </c>
      <c r="V84" s="16">
        <v>0.07899984166217149</v>
      </c>
      <c r="Y84" s="14">
        <v>100</v>
      </c>
      <c r="Z84" s="15">
        <v>0.05555555555555555</v>
      </c>
      <c r="AA84" s="14">
        <v>0</v>
      </c>
      <c r="AB84" s="14">
        <v>8.280466666666667</v>
      </c>
      <c r="AC84" s="14">
        <v>0</v>
      </c>
      <c r="AD84" s="14">
        <v>0</v>
      </c>
      <c r="AE84" s="14">
        <v>0.4968279888950288</v>
      </c>
      <c r="AF84" s="14">
        <v>8.777294655561697</v>
      </c>
      <c r="AG84" s="16">
        <v>0.33333333333333337</v>
      </c>
      <c r="AJ84" s="14">
        <v>180</v>
      </c>
      <c r="AK84" s="15">
        <v>0.1</v>
      </c>
      <c r="AL84" s="14">
        <v>0</v>
      </c>
      <c r="AM84" s="14">
        <v>14.598466666666665</v>
      </c>
      <c r="AN84" s="14">
        <v>0</v>
      </c>
      <c r="AO84" s="14">
        <v>0</v>
      </c>
      <c r="AP84" s="14">
        <v>0.8759079804219304</v>
      </c>
      <c r="AQ84" s="14">
        <v>15.474374647088595</v>
      </c>
      <c r="AR84" s="16">
        <v>0.5876668250044951</v>
      </c>
      <c r="AU84" s="14">
        <v>0</v>
      </c>
      <c r="AV84" s="15">
        <v>0</v>
      </c>
      <c r="AW84" s="14">
        <v>0</v>
      </c>
      <c r="AX84" s="14">
        <v>0</v>
      </c>
      <c r="AY84" s="14">
        <v>0</v>
      </c>
      <c r="AZ84" s="14">
        <v>0</v>
      </c>
      <c r="BA84" s="14">
        <v>0</v>
      </c>
      <c r="BB84" s="14">
        <v>0</v>
      </c>
      <c r="BC84" s="16">
        <v>0</v>
      </c>
    </row>
    <row r="85" spans="1:55" ht="12.75">
      <c r="A85" s="23" t="s">
        <v>293</v>
      </c>
      <c r="B85" s="19" t="s">
        <v>294</v>
      </c>
      <c r="C85" s="14">
        <v>3475</v>
      </c>
      <c r="D85" s="15">
        <v>1.9305555555555556</v>
      </c>
      <c r="E85" s="14">
        <v>5</v>
      </c>
      <c r="F85" s="14">
        <v>287.8738722222222</v>
      </c>
      <c r="G85" s="14">
        <v>0</v>
      </c>
      <c r="H85" s="14">
        <v>18.85867529296875</v>
      </c>
      <c r="I85" s="14">
        <v>35.25025588997707</v>
      </c>
      <c r="J85" s="14">
        <v>341.98280340516806</v>
      </c>
      <c r="K85" s="22"/>
      <c r="N85" s="14">
        <v>340</v>
      </c>
      <c r="O85" s="15">
        <v>0.18888888888888888</v>
      </c>
      <c r="P85" s="14">
        <v>0</v>
      </c>
      <c r="Q85" s="14">
        <v>30.2982</v>
      </c>
      <c r="R85" s="14">
        <v>0</v>
      </c>
      <c r="S85" s="14">
        <v>0</v>
      </c>
      <c r="T85" s="14">
        <v>2.7268381083548068</v>
      </c>
      <c r="U85" s="14">
        <v>33.025038108354806</v>
      </c>
      <c r="V85" s="16">
        <v>0.09656929465318176</v>
      </c>
      <c r="Y85" s="14">
        <v>1570</v>
      </c>
      <c r="Z85" s="15">
        <v>0.8722222222222222</v>
      </c>
      <c r="AA85" s="14">
        <v>3</v>
      </c>
      <c r="AB85" s="14">
        <v>137.71372222222223</v>
      </c>
      <c r="AC85" s="14">
        <v>0</v>
      </c>
      <c r="AD85" s="14">
        <v>11.315205078125</v>
      </c>
      <c r="AE85" s="14">
        <v>13.412603990000227</v>
      </c>
      <c r="AF85" s="14">
        <v>162.44153129034746</v>
      </c>
      <c r="AG85" s="16">
        <v>0.4749991218064055</v>
      </c>
      <c r="AJ85" s="14">
        <v>1565</v>
      </c>
      <c r="AK85" s="15">
        <v>0.8694444444444445</v>
      </c>
      <c r="AL85" s="14">
        <v>2</v>
      </c>
      <c r="AM85" s="14">
        <v>119.86194999999998</v>
      </c>
      <c r="AN85" s="14">
        <v>0</v>
      </c>
      <c r="AO85" s="14">
        <v>7.54347021484375</v>
      </c>
      <c r="AP85" s="14">
        <v>19.11081379162204</v>
      </c>
      <c r="AQ85" s="14">
        <v>146.51623400646577</v>
      </c>
      <c r="AR85" s="16">
        <v>0.4284315835404126</v>
      </c>
      <c r="AU85" s="14">
        <v>0</v>
      </c>
      <c r="AV85" s="15">
        <v>0</v>
      </c>
      <c r="AW85" s="14">
        <v>0</v>
      </c>
      <c r="AX85" s="14">
        <v>0</v>
      </c>
      <c r="AY85" s="14">
        <v>0</v>
      </c>
      <c r="AZ85" s="14">
        <v>0</v>
      </c>
      <c r="BA85" s="14">
        <v>0</v>
      </c>
      <c r="BB85" s="14">
        <v>0</v>
      </c>
      <c r="BC85" s="16">
        <v>0</v>
      </c>
    </row>
    <row r="86" spans="1:55" ht="12.75">
      <c r="A86" s="23" t="s">
        <v>295</v>
      </c>
      <c r="B86" s="19" t="s">
        <v>296</v>
      </c>
      <c r="C86" s="14">
        <v>3340</v>
      </c>
      <c r="D86" s="15">
        <v>1.8555555555555556</v>
      </c>
      <c r="E86" s="14">
        <v>0</v>
      </c>
      <c r="F86" s="14">
        <v>249.26767777777775</v>
      </c>
      <c r="G86" s="14">
        <v>0</v>
      </c>
      <c r="H86" s="14">
        <v>0</v>
      </c>
      <c r="I86" s="14">
        <v>52.17177759258598</v>
      </c>
      <c r="J86" s="14">
        <v>301.4394553703637</v>
      </c>
      <c r="K86" s="22"/>
      <c r="N86" s="14">
        <v>250</v>
      </c>
      <c r="O86" s="15">
        <v>0.1388888888888889</v>
      </c>
      <c r="P86" s="14">
        <v>0</v>
      </c>
      <c r="Q86" s="14">
        <v>18.148055555555555</v>
      </c>
      <c r="R86" s="14">
        <v>0</v>
      </c>
      <c r="S86" s="14">
        <v>0</v>
      </c>
      <c r="T86" s="14">
        <v>3.2666501298050084</v>
      </c>
      <c r="U86" s="14">
        <v>21.414705685360563</v>
      </c>
      <c r="V86" s="16">
        <v>0.07104148214124584</v>
      </c>
      <c r="Y86" s="14">
        <v>1390</v>
      </c>
      <c r="Z86" s="15">
        <v>0.7722222222222223</v>
      </c>
      <c r="AA86" s="14">
        <v>0</v>
      </c>
      <c r="AB86" s="14">
        <v>109.39303333333332</v>
      </c>
      <c r="AC86" s="14">
        <v>0</v>
      </c>
      <c r="AD86" s="14">
        <v>0</v>
      </c>
      <c r="AE86" s="14">
        <v>19.690746782439945</v>
      </c>
      <c r="AF86" s="14">
        <v>129.08378011577327</v>
      </c>
      <c r="AG86" s="16">
        <v>0.4282245665457909</v>
      </c>
      <c r="AJ86" s="14">
        <v>1700</v>
      </c>
      <c r="AK86" s="15">
        <v>0.9444444444444444</v>
      </c>
      <c r="AL86" s="14">
        <v>0</v>
      </c>
      <c r="AM86" s="14">
        <v>121.72658888888888</v>
      </c>
      <c r="AN86" s="14">
        <v>0</v>
      </c>
      <c r="AO86" s="14">
        <v>0</v>
      </c>
      <c r="AP86" s="14">
        <v>29.214380680341026</v>
      </c>
      <c r="AQ86" s="14">
        <v>150.9409695692299</v>
      </c>
      <c r="AR86" s="16">
        <v>0.5007339513129634</v>
      </c>
      <c r="AU86" s="14">
        <v>0</v>
      </c>
      <c r="AV86" s="15">
        <v>0</v>
      </c>
      <c r="AW86" s="14">
        <v>0</v>
      </c>
      <c r="AX86" s="14">
        <v>0</v>
      </c>
      <c r="AY86" s="14">
        <v>0</v>
      </c>
      <c r="AZ86" s="14">
        <v>0</v>
      </c>
      <c r="BA86" s="14">
        <v>0</v>
      </c>
      <c r="BB86" s="14">
        <v>0</v>
      </c>
      <c r="BC86" s="16">
        <v>0</v>
      </c>
    </row>
    <row r="87" spans="1:55" ht="12.75">
      <c r="A87" s="23">
        <v>6.4</v>
      </c>
      <c r="B87" s="19" t="s">
        <v>297</v>
      </c>
      <c r="C87" s="14">
        <v>680</v>
      </c>
      <c r="D87" s="15">
        <v>0.37777777777777777</v>
      </c>
      <c r="E87" s="14">
        <v>0</v>
      </c>
      <c r="F87" s="14">
        <v>51.24675555555555</v>
      </c>
      <c r="G87" s="14">
        <v>39.14</v>
      </c>
      <c r="H87" s="14">
        <v>0</v>
      </c>
      <c r="I87" s="14">
        <v>28.92376113128132</v>
      </c>
      <c r="J87" s="14">
        <v>119.31051668683688</v>
      </c>
      <c r="K87" s="22"/>
      <c r="N87" s="14">
        <v>70</v>
      </c>
      <c r="O87" s="15">
        <v>0.03888888888888889</v>
      </c>
      <c r="P87" s="14">
        <v>0</v>
      </c>
      <c r="Q87" s="14">
        <v>5.9750444444444435</v>
      </c>
      <c r="R87" s="14">
        <v>0</v>
      </c>
      <c r="S87" s="14">
        <v>0</v>
      </c>
      <c r="T87" s="14">
        <v>1.912014179485374</v>
      </c>
      <c r="U87" s="14">
        <v>7.887058623929818</v>
      </c>
      <c r="V87" s="16">
        <v>0.06610530943078188</v>
      </c>
      <c r="Y87" s="14">
        <v>370</v>
      </c>
      <c r="Z87" s="15">
        <v>0.20555555555555555</v>
      </c>
      <c r="AA87" s="14">
        <v>0</v>
      </c>
      <c r="AB87" s="14">
        <v>29.7952</v>
      </c>
      <c r="AC87" s="14">
        <v>0</v>
      </c>
      <c r="AD87" s="14">
        <v>0</v>
      </c>
      <c r="AE87" s="14">
        <v>9.534463786888123</v>
      </c>
      <c r="AF87" s="14">
        <v>39.329663786888126</v>
      </c>
      <c r="AG87" s="16">
        <v>0.32964121587135187</v>
      </c>
      <c r="AJ87" s="14">
        <v>240</v>
      </c>
      <c r="AK87" s="15">
        <v>0.13333333333333333</v>
      </c>
      <c r="AL87" s="14">
        <v>0</v>
      </c>
      <c r="AM87" s="14">
        <v>15.476511111111112</v>
      </c>
      <c r="AN87" s="14">
        <v>39.14</v>
      </c>
      <c r="AO87" s="14">
        <v>0</v>
      </c>
      <c r="AP87" s="14">
        <v>17.477283164907824</v>
      </c>
      <c r="AQ87" s="14">
        <v>72.09379427601894</v>
      </c>
      <c r="AR87" s="16">
        <v>0.6042534746978663</v>
      </c>
      <c r="AU87" s="14">
        <v>0</v>
      </c>
      <c r="AV87" s="15">
        <v>0</v>
      </c>
      <c r="AW87" s="14">
        <v>0</v>
      </c>
      <c r="AX87" s="14">
        <v>0</v>
      </c>
      <c r="AY87" s="14">
        <v>0</v>
      </c>
      <c r="AZ87" s="14">
        <v>0</v>
      </c>
      <c r="BA87" s="14">
        <v>0</v>
      </c>
      <c r="BB87" s="14">
        <v>0</v>
      </c>
      <c r="BC87" s="16">
        <v>0</v>
      </c>
    </row>
    <row r="88" spans="1:56" ht="12.75">
      <c r="A88" s="8">
        <v>7</v>
      </c>
      <c r="B88" s="9" t="s">
        <v>298</v>
      </c>
      <c r="C88" s="25"/>
      <c r="D88" s="25"/>
      <c r="E88" s="25"/>
      <c r="F88" s="25"/>
      <c r="G88" s="25"/>
      <c r="H88" s="25"/>
      <c r="I88" s="25"/>
      <c r="J88" s="25"/>
      <c r="K88" s="11">
        <v>0.04574544546462308</v>
      </c>
      <c r="L88" s="12">
        <v>1931.6826373113986</v>
      </c>
      <c r="N88" s="25"/>
      <c r="O88" s="25"/>
      <c r="P88" s="25"/>
      <c r="Q88" s="25"/>
      <c r="R88" s="25"/>
      <c r="S88" s="25"/>
      <c r="T88" s="25"/>
      <c r="U88" s="25"/>
      <c r="V88" s="25"/>
      <c r="W88" s="12">
        <v>116.12322425428611</v>
      </c>
      <c r="Y88" s="25"/>
      <c r="Z88" s="25"/>
      <c r="AA88" s="25"/>
      <c r="AB88" s="25"/>
      <c r="AC88" s="25"/>
      <c r="AD88" s="25"/>
      <c r="AE88" s="25"/>
      <c r="AF88" s="25"/>
      <c r="AG88" s="25"/>
      <c r="AH88" s="12">
        <v>505.12898155023595</v>
      </c>
      <c r="AJ88" s="25"/>
      <c r="AK88" s="25"/>
      <c r="AL88" s="25"/>
      <c r="AM88" s="25"/>
      <c r="AN88" s="25"/>
      <c r="AO88" s="25"/>
      <c r="AP88" s="25"/>
      <c r="AQ88" s="25"/>
      <c r="AR88" s="25"/>
      <c r="AS88" s="12">
        <v>1289.9170937013103</v>
      </c>
      <c r="AU88" s="25"/>
      <c r="AV88" s="25"/>
      <c r="AW88" s="25"/>
      <c r="AX88" s="25"/>
      <c r="AY88" s="25"/>
      <c r="AZ88" s="25"/>
      <c r="BA88" s="25"/>
      <c r="BB88" s="25"/>
      <c r="BC88" s="25"/>
      <c r="BD88" s="12">
        <v>20.51333780556619</v>
      </c>
    </row>
    <row r="89" spans="1:55" ht="12.75">
      <c r="A89" s="13">
        <v>7.1</v>
      </c>
      <c r="B89" s="19" t="s">
        <v>299</v>
      </c>
      <c r="C89" s="14">
        <v>0</v>
      </c>
      <c r="D89" s="15">
        <v>0</v>
      </c>
      <c r="E89" s="14">
        <v>0</v>
      </c>
      <c r="F89" s="14">
        <v>0</v>
      </c>
      <c r="G89" s="14">
        <v>0</v>
      </c>
      <c r="H89" s="14">
        <v>0</v>
      </c>
      <c r="I89" s="14">
        <v>0</v>
      </c>
      <c r="J89" s="14">
        <v>0</v>
      </c>
      <c r="K89" s="22"/>
      <c r="N89" s="14">
        <v>0</v>
      </c>
      <c r="O89" s="15">
        <v>0</v>
      </c>
      <c r="P89" s="14">
        <v>0</v>
      </c>
      <c r="Q89" s="14">
        <v>0</v>
      </c>
      <c r="R89" s="14">
        <v>0</v>
      </c>
      <c r="S89" s="14">
        <v>0</v>
      </c>
      <c r="T89" s="14">
        <v>0</v>
      </c>
      <c r="U89" s="14">
        <v>0</v>
      </c>
      <c r="V89" s="16">
        <v>0</v>
      </c>
      <c r="Y89" s="14">
        <v>0</v>
      </c>
      <c r="Z89" s="15">
        <v>0</v>
      </c>
      <c r="AA89" s="14">
        <v>0</v>
      </c>
      <c r="AB89" s="14">
        <v>0</v>
      </c>
      <c r="AC89" s="14">
        <v>0</v>
      </c>
      <c r="AD89" s="14">
        <v>0</v>
      </c>
      <c r="AE89" s="14">
        <v>0</v>
      </c>
      <c r="AF89" s="14">
        <v>0</v>
      </c>
      <c r="AG89" s="16">
        <v>0</v>
      </c>
      <c r="AJ89" s="14">
        <v>0</v>
      </c>
      <c r="AK89" s="15">
        <v>0</v>
      </c>
      <c r="AL89" s="14">
        <v>0</v>
      </c>
      <c r="AM89" s="14">
        <v>0</v>
      </c>
      <c r="AN89" s="14">
        <v>0</v>
      </c>
      <c r="AO89" s="14">
        <v>0</v>
      </c>
      <c r="AP89" s="14">
        <v>0</v>
      </c>
      <c r="AQ89" s="14">
        <v>0</v>
      </c>
      <c r="AR89" s="16">
        <v>0</v>
      </c>
      <c r="AU89" s="14">
        <v>0</v>
      </c>
      <c r="AV89" s="15">
        <v>0</v>
      </c>
      <c r="AW89" s="14">
        <v>0</v>
      </c>
      <c r="AX89" s="14">
        <v>0</v>
      </c>
      <c r="AY89" s="14">
        <v>0</v>
      </c>
      <c r="AZ89" s="14">
        <v>0</v>
      </c>
      <c r="BA89" s="14">
        <v>0</v>
      </c>
      <c r="BB89" s="14">
        <v>0</v>
      </c>
      <c r="BC89" s="16">
        <v>0</v>
      </c>
    </row>
    <row r="90" spans="1:55" ht="12.75">
      <c r="A90" s="13">
        <v>7.2</v>
      </c>
      <c r="B90" s="13" t="s">
        <v>300</v>
      </c>
      <c r="C90" s="14">
        <v>6270</v>
      </c>
      <c r="D90" s="15">
        <v>3.4833333333333334</v>
      </c>
      <c r="E90" s="14">
        <v>3</v>
      </c>
      <c r="F90" s="14">
        <v>381.0160333333333</v>
      </c>
      <c r="G90" s="14">
        <v>351.21</v>
      </c>
      <c r="H90" s="14">
        <v>12.175205322265626</v>
      </c>
      <c r="I90" s="14">
        <v>181.79780340180608</v>
      </c>
      <c r="J90" s="14">
        <v>926.199042057405</v>
      </c>
      <c r="K90" s="22"/>
      <c r="N90" s="14">
        <v>660</v>
      </c>
      <c r="O90" s="15">
        <v>0.36666666666666664</v>
      </c>
      <c r="P90" s="14">
        <v>1</v>
      </c>
      <c r="Q90" s="14">
        <v>45.34455555555555</v>
      </c>
      <c r="R90" s="14">
        <v>5</v>
      </c>
      <c r="S90" s="14">
        <v>3.771735107421875</v>
      </c>
      <c r="T90" s="14">
        <v>14.070235056280966</v>
      </c>
      <c r="U90" s="14">
        <v>68.1865257192584</v>
      </c>
      <c r="V90" s="16">
        <v>0.07361973250133448</v>
      </c>
      <c r="Y90" s="14">
        <v>2450</v>
      </c>
      <c r="Z90" s="15">
        <v>1.3611111111111112</v>
      </c>
      <c r="AA90" s="14">
        <v>0</v>
      </c>
      <c r="AB90" s="14">
        <v>164.91523333333333</v>
      </c>
      <c r="AC90" s="14">
        <v>30</v>
      </c>
      <c r="AD90" s="14">
        <v>0.86</v>
      </c>
      <c r="AE90" s="14">
        <v>39.15504725012233</v>
      </c>
      <c r="AF90" s="14">
        <v>234.93028058345567</v>
      </c>
      <c r="AG90" s="16">
        <v>0.2536498850847385</v>
      </c>
      <c r="AJ90" s="14">
        <v>3160</v>
      </c>
      <c r="AK90" s="15">
        <v>1.7555555555555555</v>
      </c>
      <c r="AL90" s="14">
        <v>2</v>
      </c>
      <c r="AM90" s="14">
        <v>170.75624444444446</v>
      </c>
      <c r="AN90" s="14">
        <v>316.21</v>
      </c>
      <c r="AO90" s="14">
        <v>7.54347021484375</v>
      </c>
      <c r="AP90" s="14">
        <v>128.57252109540278</v>
      </c>
      <c r="AQ90" s="14">
        <v>623.0822357546909</v>
      </c>
      <c r="AR90" s="16">
        <v>0.672730382413927</v>
      </c>
      <c r="AU90" s="14">
        <v>0</v>
      </c>
      <c r="AV90" s="15">
        <v>0</v>
      </c>
      <c r="AW90" s="14">
        <v>0</v>
      </c>
      <c r="AX90" s="14">
        <v>0</v>
      </c>
      <c r="AY90" s="14">
        <v>0</v>
      </c>
      <c r="AZ90" s="14">
        <v>0</v>
      </c>
      <c r="BA90" s="14">
        <v>0</v>
      </c>
      <c r="BB90" s="14">
        <v>0</v>
      </c>
      <c r="BC90" s="16">
        <v>0</v>
      </c>
    </row>
    <row r="91" spans="1:55" ht="12.75">
      <c r="A91" s="13">
        <v>7.3</v>
      </c>
      <c r="B91" s="19" t="s">
        <v>301</v>
      </c>
      <c r="C91" s="14">
        <v>4423</v>
      </c>
      <c r="D91" s="15">
        <v>2.457222222222222</v>
      </c>
      <c r="E91" s="14">
        <v>0</v>
      </c>
      <c r="F91" s="14">
        <v>247.81262555555554</v>
      </c>
      <c r="G91" s="14">
        <v>354.002</v>
      </c>
      <c r="H91" s="14">
        <v>0</v>
      </c>
      <c r="I91" s="14">
        <v>132.39921690480327</v>
      </c>
      <c r="J91" s="14">
        <v>734.2138424603588</v>
      </c>
      <c r="K91" s="22"/>
      <c r="N91" s="14">
        <v>280</v>
      </c>
      <c r="O91" s="15">
        <v>0.15555555555555556</v>
      </c>
      <c r="P91" s="14">
        <v>0</v>
      </c>
      <c r="Q91" s="14">
        <v>21.857688888888887</v>
      </c>
      <c r="R91" s="14">
        <v>0</v>
      </c>
      <c r="S91" s="14">
        <v>0</v>
      </c>
      <c r="T91" s="14">
        <v>4.80869152949916</v>
      </c>
      <c r="U91" s="14">
        <v>26.666380418388048</v>
      </c>
      <c r="V91" s="16">
        <v>0.036319637244959464</v>
      </c>
      <c r="Y91" s="14">
        <v>1136</v>
      </c>
      <c r="Z91" s="15">
        <v>0.6311111111111111</v>
      </c>
      <c r="AA91" s="14">
        <v>0</v>
      </c>
      <c r="AB91" s="14">
        <v>78.20801222222221</v>
      </c>
      <c r="AC91" s="14">
        <v>70</v>
      </c>
      <c r="AD91" s="14">
        <v>0</v>
      </c>
      <c r="AE91" s="14">
        <v>32.60576251221117</v>
      </c>
      <c r="AF91" s="14">
        <v>180.81377473443337</v>
      </c>
      <c r="AG91" s="16">
        <v>0.2462685450447575</v>
      </c>
      <c r="AJ91" s="14">
        <v>3007</v>
      </c>
      <c r="AK91" s="15">
        <v>1.6705555555555556</v>
      </c>
      <c r="AL91" s="14">
        <v>0</v>
      </c>
      <c r="AM91" s="14">
        <v>147.74692444444446</v>
      </c>
      <c r="AN91" s="14">
        <v>284.002</v>
      </c>
      <c r="AO91" s="14">
        <v>0</v>
      </c>
      <c r="AP91" s="14">
        <v>94.98476286309295</v>
      </c>
      <c r="AQ91" s="14">
        <v>526.7336873075374</v>
      </c>
      <c r="AR91" s="16">
        <v>0.717411817710283</v>
      </c>
      <c r="AU91" s="14">
        <v>0</v>
      </c>
      <c r="AV91" s="15">
        <v>0</v>
      </c>
      <c r="AW91" s="14">
        <v>0</v>
      </c>
      <c r="AX91" s="14">
        <v>0</v>
      </c>
      <c r="AY91" s="14">
        <v>0</v>
      </c>
      <c r="AZ91" s="14">
        <v>0</v>
      </c>
      <c r="BA91" s="14">
        <v>0</v>
      </c>
      <c r="BB91" s="14">
        <v>0</v>
      </c>
      <c r="BC91" s="16">
        <v>0</v>
      </c>
    </row>
    <row r="92" spans="1:55" ht="12.75">
      <c r="A92" s="13">
        <v>7.4</v>
      </c>
      <c r="B92" s="13" t="s">
        <v>302</v>
      </c>
      <c r="C92" s="14">
        <v>1200</v>
      </c>
      <c r="D92" s="15">
        <v>0.6666666666666666</v>
      </c>
      <c r="E92" s="14">
        <v>0</v>
      </c>
      <c r="F92" s="14">
        <v>89.5415111111111</v>
      </c>
      <c r="G92" s="14">
        <v>46.35</v>
      </c>
      <c r="H92" s="14">
        <v>0</v>
      </c>
      <c r="I92" s="14">
        <v>17.395956098404525</v>
      </c>
      <c r="J92" s="14">
        <v>153.28746720951563</v>
      </c>
      <c r="K92" s="22"/>
      <c r="N92" s="14">
        <v>100</v>
      </c>
      <c r="O92" s="15">
        <v>0.05555555555555555</v>
      </c>
      <c r="P92" s="14">
        <v>0</v>
      </c>
      <c r="Q92" s="14">
        <v>8.303</v>
      </c>
      <c r="R92" s="14">
        <v>0</v>
      </c>
      <c r="S92" s="14">
        <v>0</v>
      </c>
      <c r="T92" s="14">
        <v>0.8303000123724341</v>
      </c>
      <c r="U92" s="14">
        <v>9.133300012372436</v>
      </c>
      <c r="V92" s="16">
        <v>0.05958282290546887</v>
      </c>
      <c r="Y92" s="14">
        <v>380</v>
      </c>
      <c r="Z92" s="15">
        <v>0.2111111111111111</v>
      </c>
      <c r="AA92" s="14">
        <v>0</v>
      </c>
      <c r="AB92" s="14">
        <v>32.80393333333333</v>
      </c>
      <c r="AC92" s="14">
        <v>0</v>
      </c>
      <c r="AD92" s="14">
        <v>0</v>
      </c>
      <c r="AE92" s="14">
        <v>3.2803933822150033</v>
      </c>
      <c r="AF92" s="14">
        <v>36.084326715548336</v>
      </c>
      <c r="AG92" s="16">
        <v>0.23540298089880846</v>
      </c>
      <c r="AJ92" s="14">
        <v>520</v>
      </c>
      <c r="AK92" s="15">
        <v>0.28888888888888886</v>
      </c>
      <c r="AL92" s="14">
        <v>0</v>
      </c>
      <c r="AM92" s="14">
        <v>29.786088888888887</v>
      </c>
      <c r="AN92" s="14">
        <v>46.35</v>
      </c>
      <c r="AO92" s="14">
        <v>0</v>
      </c>
      <c r="AP92" s="14">
        <v>11.420413787139786</v>
      </c>
      <c r="AQ92" s="14">
        <v>87.55650267602869</v>
      </c>
      <c r="AR92" s="16">
        <v>0.5711915283743004</v>
      </c>
      <c r="AU92" s="14">
        <v>200</v>
      </c>
      <c r="AV92" s="15">
        <v>0.1111111111111111</v>
      </c>
      <c r="AW92" s="14">
        <v>0</v>
      </c>
      <c r="AX92" s="14">
        <v>18.64848888888889</v>
      </c>
      <c r="AY92" s="14">
        <v>0</v>
      </c>
      <c r="AZ92" s="14">
        <v>0</v>
      </c>
      <c r="BA92" s="14">
        <v>1.8648489166773028</v>
      </c>
      <c r="BB92" s="14">
        <v>20.51333780556619</v>
      </c>
      <c r="BC92" s="16">
        <v>0.13382266782142244</v>
      </c>
    </row>
    <row r="93" spans="1:55" ht="12.75">
      <c r="A93" s="13">
        <v>7.5</v>
      </c>
      <c r="B93" s="19" t="s">
        <v>303</v>
      </c>
      <c r="C93" s="14">
        <v>1024</v>
      </c>
      <c r="D93" s="15">
        <v>0.5688888888888889</v>
      </c>
      <c r="E93" s="14">
        <v>0</v>
      </c>
      <c r="F93" s="14">
        <v>74.62132666666666</v>
      </c>
      <c r="G93" s="14">
        <v>30.72</v>
      </c>
      <c r="H93" s="14">
        <v>0</v>
      </c>
      <c r="I93" s="14">
        <v>12.640958917452544</v>
      </c>
      <c r="J93" s="14">
        <v>117.98228558411921</v>
      </c>
      <c r="K93" s="22"/>
      <c r="N93" s="14">
        <v>61</v>
      </c>
      <c r="O93" s="15">
        <v>0.03388888888888889</v>
      </c>
      <c r="P93" s="14">
        <v>0</v>
      </c>
      <c r="Q93" s="14">
        <v>4.836623333333333</v>
      </c>
      <c r="R93" s="14">
        <v>6</v>
      </c>
      <c r="S93" s="14">
        <v>0</v>
      </c>
      <c r="T93" s="14">
        <v>1.3003947709339112</v>
      </c>
      <c r="U93" s="14">
        <v>12.137018104267243</v>
      </c>
      <c r="V93" s="16">
        <v>0.10287152892638082</v>
      </c>
      <c r="Y93" s="14">
        <v>619</v>
      </c>
      <c r="Z93" s="15">
        <v>0.3438888888888889</v>
      </c>
      <c r="AA93" s="14">
        <v>0</v>
      </c>
      <c r="AB93" s="14">
        <v>47.58982111111111</v>
      </c>
      <c r="AC93" s="14">
        <v>0</v>
      </c>
      <c r="AD93" s="14">
        <v>0</v>
      </c>
      <c r="AE93" s="14">
        <v>5.710778405687486</v>
      </c>
      <c r="AF93" s="14">
        <v>53.30059951679859</v>
      </c>
      <c r="AG93" s="16">
        <v>0.4517678162693012</v>
      </c>
      <c r="AJ93" s="14">
        <v>344</v>
      </c>
      <c r="AK93" s="15">
        <v>0.19111111111111112</v>
      </c>
      <c r="AL93" s="14">
        <v>0</v>
      </c>
      <c r="AM93" s="14">
        <v>22.194882222222223</v>
      </c>
      <c r="AN93" s="14">
        <v>24.72</v>
      </c>
      <c r="AO93" s="14">
        <v>0</v>
      </c>
      <c r="AP93" s="14">
        <v>5.629785740831147</v>
      </c>
      <c r="AQ93" s="14">
        <v>52.544667963053364</v>
      </c>
      <c r="AR93" s="16">
        <v>0.44536065480431786</v>
      </c>
      <c r="AU93" s="14">
        <v>0</v>
      </c>
      <c r="AV93" s="15">
        <v>0</v>
      </c>
      <c r="AW93" s="14">
        <v>0</v>
      </c>
      <c r="AX93" s="14">
        <v>0</v>
      </c>
      <c r="AY93" s="14">
        <v>0</v>
      </c>
      <c r="AZ93" s="14">
        <v>0</v>
      </c>
      <c r="BA93" s="14">
        <v>0</v>
      </c>
      <c r="BB93" s="14">
        <v>0</v>
      </c>
      <c r="BC93" s="16">
        <v>0</v>
      </c>
    </row>
    <row r="94" spans="1:56" ht="12.75">
      <c r="A94" s="8">
        <v>8</v>
      </c>
      <c r="B94" s="9" t="s">
        <v>304</v>
      </c>
      <c r="C94" s="25"/>
      <c r="D94" s="25"/>
      <c r="E94" s="25"/>
      <c r="F94" s="25"/>
      <c r="G94" s="25"/>
      <c r="H94" s="25"/>
      <c r="I94" s="25"/>
      <c r="J94" s="25"/>
      <c r="K94" s="11">
        <v>0.06478030935292621</v>
      </c>
      <c r="L94" s="12">
        <v>2735.4635537100853</v>
      </c>
      <c r="N94" s="25"/>
      <c r="O94" s="25"/>
      <c r="P94" s="25"/>
      <c r="Q94" s="25"/>
      <c r="R94" s="25"/>
      <c r="S94" s="25"/>
      <c r="T94" s="25"/>
      <c r="U94" s="25"/>
      <c r="V94" s="25"/>
      <c r="W94" s="12">
        <v>50.23234480839208</v>
      </c>
      <c r="Y94" s="25"/>
      <c r="Z94" s="25"/>
      <c r="AA94" s="25"/>
      <c r="AB94" s="25"/>
      <c r="AC94" s="25"/>
      <c r="AD94" s="25"/>
      <c r="AE94" s="25"/>
      <c r="AF94" s="25"/>
      <c r="AG94" s="25"/>
      <c r="AH94" s="12">
        <v>114.68755898093855</v>
      </c>
      <c r="AJ94" s="25"/>
      <c r="AK94" s="25"/>
      <c r="AL94" s="25"/>
      <c r="AM94" s="25"/>
      <c r="AN94" s="25"/>
      <c r="AO94" s="25"/>
      <c r="AP94" s="25"/>
      <c r="AQ94" s="25"/>
      <c r="AR94" s="25"/>
      <c r="AS94" s="12">
        <v>136.36902866260095</v>
      </c>
      <c r="AU94" s="25"/>
      <c r="AV94" s="25"/>
      <c r="AW94" s="25"/>
      <c r="AX94" s="25"/>
      <c r="AY94" s="25"/>
      <c r="AZ94" s="25"/>
      <c r="BA94" s="25"/>
      <c r="BB94" s="25"/>
      <c r="BC94" s="25"/>
      <c r="BD94" s="12">
        <v>2434.174621258154</v>
      </c>
    </row>
    <row r="95" spans="1:55" ht="12.75">
      <c r="A95" s="13">
        <v>8.1</v>
      </c>
      <c r="B95" s="19" t="s">
        <v>305</v>
      </c>
      <c r="C95" s="14">
        <v>4040</v>
      </c>
      <c r="D95" s="15">
        <v>2.2444444444444445</v>
      </c>
      <c r="E95" s="14">
        <v>0</v>
      </c>
      <c r="F95" s="14">
        <v>220.14827555555553</v>
      </c>
      <c r="G95" s="14">
        <v>20.6</v>
      </c>
      <c r="H95" s="14">
        <v>0</v>
      </c>
      <c r="I95" s="14">
        <v>85.31302882681872</v>
      </c>
      <c r="J95" s="14">
        <v>326.06130438237426</v>
      </c>
      <c r="K95" s="22"/>
      <c r="N95" s="14">
        <v>120</v>
      </c>
      <c r="O95" s="15">
        <v>0.06666666666666667</v>
      </c>
      <c r="P95" s="14">
        <v>0</v>
      </c>
      <c r="Q95" s="14">
        <v>7.63258888888889</v>
      </c>
      <c r="R95" s="14">
        <v>0</v>
      </c>
      <c r="S95" s="14">
        <v>0</v>
      </c>
      <c r="T95" s="14">
        <v>0.7632589002623327</v>
      </c>
      <c r="U95" s="14">
        <v>8.395847789151222</v>
      </c>
      <c r="V95" s="16">
        <v>0.025749292161652386</v>
      </c>
      <c r="Y95" s="14">
        <v>480</v>
      </c>
      <c r="Z95" s="15">
        <v>0.26666666666666666</v>
      </c>
      <c r="AA95" s="14">
        <v>0</v>
      </c>
      <c r="AB95" s="14">
        <v>26.744666666666664</v>
      </c>
      <c r="AC95" s="14">
        <v>0</v>
      </c>
      <c r="AD95" s="14">
        <v>0</v>
      </c>
      <c r="AE95" s="14">
        <v>2.674466706519325</v>
      </c>
      <c r="AF95" s="14">
        <v>29.41913337318599</v>
      </c>
      <c r="AG95" s="16">
        <v>0.09022577342905423</v>
      </c>
      <c r="AJ95" s="14">
        <v>40</v>
      </c>
      <c r="AK95" s="15">
        <v>0.022222222222222223</v>
      </c>
      <c r="AL95" s="14">
        <v>0</v>
      </c>
      <c r="AM95" s="14">
        <v>2.2436866666666666</v>
      </c>
      <c r="AN95" s="14">
        <v>0</v>
      </c>
      <c r="AO95" s="14">
        <v>0</v>
      </c>
      <c r="AP95" s="14">
        <v>0.2243686700100203</v>
      </c>
      <c r="AQ95" s="14">
        <v>2.468055336676687</v>
      </c>
      <c r="AR95" s="16">
        <v>0.007569298483153898</v>
      </c>
      <c r="AU95" s="14">
        <v>3400</v>
      </c>
      <c r="AV95" s="15">
        <v>1.8888888888888888</v>
      </c>
      <c r="AW95" s="14">
        <v>0</v>
      </c>
      <c r="AX95" s="14">
        <v>183.5273333333333</v>
      </c>
      <c r="AY95" s="14">
        <v>20.6</v>
      </c>
      <c r="AZ95" s="14">
        <v>0</v>
      </c>
      <c r="BA95" s="14">
        <v>81.65093455002705</v>
      </c>
      <c r="BB95" s="14">
        <v>285.77826788336034</v>
      </c>
      <c r="BC95" s="16">
        <v>0.8764556359261394</v>
      </c>
    </row>
    <row r="96" spans="1:55" ht="12.75">
      <c r="A96" s="13">
        <v>8.2</v>
      </c>
      <c r="B96" s="13" t="s">
        <v>306</v>
      </c>
      <c r="C96" s="14">
        <v>1040</v>
      </c>
      <c r="D96" s="15">
        <v>0.5777777777777777</v>
      </c>
      <c r="E96" s="14">
        <v>0</v>
      </c>
      <c r="F96" s="14">
        <v>46.773955555555546</v>
      </c>
      <c r="G96" s="14">
        <v>40.17</v>
      </c>
      <c r="H96" s="14">
        <v>0</v>
      </c>
      <c r="I96" s="14">
        <v>17.38879137022429</v>
      </c>
      <c r="J96" s="14">
        <v>104.33274692577984</v>
      </c>
      <c r="K96" s="22"/>
      <c r="N96" s="14">
        <v>0</v>
      </c>
      <c r="O96" s="15">
        <v>0</v>
      </c>
      <c r="P96" s="14">
        <v>0</v>
      </c>
      <c r="Q96" s="14">
        <v>0</v>
      </c>
      <c r="R96" s="14">
        <v>0</v>
      </c>
      <c r="S96" s="14">
        <v>0</v>
      </c>
      <c r="T96" s="14">
        <v>0</v>
      </c>
      <c r="U96" s="14">
        <v>0</v>
      </c>
      <c r="V96" s="16">
        <v>0</v>
      </c>
      <c r="Y96" s="14">
        <v>0</v>
      </c>
      <c r="Z96" s="15">
        <v>0</v>
      </c>
      <c r="AA96" s="14">
        <v>0</v>
      </c>
      <c r="AB96" s="14">
        <v>0</v>
      </c>
      <c r="AC96" s="14">
        <v>0</v>
      </c>
      <c r="AD96" s="14">
        <v>0</v>
      </c>
      <c r="AE96" s="14">
        <v>0</v>
      </c>
      <c r="AF96" s="14">
        <v>0</v>
      </c>
      <c r="AG96" s="16">
        <v>0</v>
      </c>
      <c r="AJ96" s="14">
        <v>0</v>
      </c>
      <c r="AK96" s="15">
        <v>0</v>
      </c>
      <c r="AL96" s="14">
        <v>0</v>
      </c>
      <c r="AM96" s="14">
        <v>0</v>
      </c>
      <c r="AN96" s="14">
        <v>0</v>
      </c>
      <c r="AO96" s="14">
        <v>0</v>
      </c>
      <c r="AP96" s="14">
        <v>0</v>
      </c>
      <c r="AQ96" s="14">
        <v>0</v>
      </c>
      <c r="AR96" s="16">
        <v>0</v>
      </c>
      <c r="AU96" s="14">
        <v>1040</v>
      </c>
      <c r="AV96" s="15">
        <v>0.5777777777777777</v>
      </c>
      <c r="AW96" s="14">
        <v>0</v>
      </c>
      <c r="AX96" s="14">
        <v>46.773955555555546</v>
      </c>
      <c r="AY96" s="14">
        <v>40.17</v>
      </c>
      <c r="AZ96" s="14">
        <v>0</v>
      </c>
      <c r="BA96" s="14">
        <v>17.38879137022429</v>
      </c>
      <c r="BB96" s="14">
        <v>104.33274692577984</v>
      </c>
      <c r="BC96" s="16">
        <v>1</v>
      </c>
    </row>
    <row r="97" spans="1:55" ht="12.75">
      <c r="A97" s="13">
        <v>8.3</v>
      </c>
      <c r="B97" s="13" t="s">
        <v>307</v>
      </c>
      <c r="C97" s="14">
        <v>1100</v>
      </c>
      <c r="D97" s="15">
        <v>0.6111111111111112</v>
      </c>
      <c r="E97" s="14">
        <v>0</v>
      </c>
      <c r="F97" s="14">
        <v>51.86758888888889</v>
      </c>
      <c r="G97" s="14">
        <v>40.685</v>
      </c>
      <c r="H97" s="14">
        <v>0</v>
      </c>
      <c r="I97" s="14">
        <v>24.06367222846084</v>
      </c>
      <c r="J97" s="14">
        <v>116.61626111734974</v>
      </c>
      <c r="K97" s="22"/>
      <c r="N97" s="14">
        <v>0</v>
      </c>
      <c r="O97" s="15">
        <v>0</v>
      </c>
      <c r="P97" s="14">
        <v>0</v>
      </c>
      <c r="Q97" s="14">
        <v>0</v>
      </c>
      <c r="R97" s="14">
        <v>0</v>
      </c>
      <c r="S97" s="14">
        <v>0</v>
      </c>
      <c r="T97" s="14">
        <v>0</v>
      </c>
      <c r="U97" s="14">
        <v>0</v>
      </c>
      <c r="V97" s="16">
        <v>0</v>
      </c>
      <c r="Y97" s="14">
        <v>0</v>
      </c>
      <c r="Z97" s="15">
        <v>0</v>
      </c>
      <c r="AA97" s="14">
        <v>0</v>
      </c>
      <c r="AB97" s="14">
        <v>0</v>
      </c>
      <c r="AC97" s="14">
        <v>0</v>
      </c>
      <c r="AD97" s="14">
        <v>0</v>
      </c>
      <c r="AE97" s="14">
        <v>0</v>
      </c>
      <c r="AF97" s="14">
        <v>0</v>
      </c>
      <c r="AG97" s="16">
        <v>0</v>
      </c>
      <c r="AJ97" s="14">
        <v>0</v>
      </c>
      <c r="AK97" s="15">
        <v>0</v>
      </c>
      <c r="AL97" s="14">
        <v>0</v>
      </c>
      <c r="AM97" s="14">
        <v>0</v>
      </c>
      <c r="AN97" s="14">
        <v>0</v>
      </c>
      <c r="AO97" s="14">
        <v>0</v>
      </c>
      <c r="AP97" s="14">
        <v>0</v>
      </c>
      <c r="AQ97" s="14">
        <v>0</v>
      </c>
      <c r="AR97" s="16">
        <v>0</v>
      </c>
      <c r="AU97" s="14">
        <v>1100</v>
      </c>
      <c r="AV97" s="15">
        <v>0.6111111111111112</v>
      </c>
      <c r="AW97" s="14">
        <v>0</v>
      </c>
      <c r="AX97" s="14">
        <v>51.86758888888889</v>
      </c>
      <c r="AY97" s="14">
        <v>40.685</v>
      </c>
      <c r="AZ97" s="14">
        <v>0</v>
      </c>
      <c r="BA97" s="14">
        <v>24.06367222846084</v>
      </c>
      <c r="BB97" s="14">
        <v>116.61626111734974</v>
      </c>
      <c r="BC97" s="16">
        <v>1</v>
      </c>
    </row>
    <row r="98" spans="1:55" ht="12.75">
      <c r="A98" s="13">
        <v>8.4</v>
      </c>
      <c r="B98" s="13" t="s">
        <v>308</v>
      </c>
      <c r="C98" s="14">
        <v>6850</v>
      </c>
      <c r="D98" s="15">
        <v>3.8055555555555554</v>
      </c>
      <c r="E98" s="14">
        <v>4</v>
      </c>
      <c r="F98" s="14">
        <v>443.1758166666668</v>
      </c>
      <c r="G98" s="14">
        <v>10.3</v>
      </c>
      <c r="H98" s="14">
        <v>27.55694140625</v>
      </c>
      <c r="I98" s="14">
        <v>92.7978149127216</v>
      </c>
      <c r="J98" s="14">
        <v>573.8305729856384</v>
      </c>
      <c r="K98" s="22"/>
      <c r="N98" s="14">
        <v>170</v>
      </c>
      <c r="O98" s="15">
        <v>0.09444444444444444</v>
      </c>
      <c r="P98" s="14">
        <v>0</v>
      </c>
      <c r="Q98" s="14">
        <v>10.857244444444445</v>
      </c>
      <c r="R98" s="14">
        <v>0</v>
      </c>
      <c r="S98" s="14">
        <v>0</v>
      </c>
      <c r="T98" s="14">
        <v>0.8685795361412896</v>
      </c>
      <c r="U98" s="14">
        <v>11.725823980585735</v>
      </c>
      <c r="V98" s="16">
        <v>0.020434296345655332</v>
      </c>
      <c r="Y98" s="14">
        <v>100</v>
      </c>
      <c r="Z98" s="15">
        <v>0.05555555555555555</v>
      </c>
      <c r="AA98" s="14">
        <v>0</v>
      </c>
      <c r="AB98" s="14">
        <v>6.764744444444444</v>
      </c>
      <c r="AC98" s="14">
        <v>0</v>
      </c>
      <c r="AD98" s="14">
        <v>0</v>
      </c>
      <c r="AE98" s="14">
        <v>0.5411795434592499</v>
      </c>
      <c r="AF98" s="14">
        <v>7.305923987903694</v>
      </c>
      <c r="AG98" s="16">
        <v>0.012731848618471125</v>
      </c>
      <c r="AJ98" s="14">
        <v>180</v>
      </c>
      <c r="AK98" s="15">
        <v>0.1</v>
      </c>
      <c r="AL98" s="14">
        <v>0</v>
      </c>
      <c r="AM98" s="14">
        <v>10.78416111111111</v>
      </c>
      <c r="AN98" s="14">
        <v>0</v>
      </c>
      <c r="AO98" s="14">
        <v>0</v>
      </c>
      <c r="AP98" s="14">
        <v>0.862732869605306</v>
      </c>
      <c r="AQ98" s="14">
        <v>11.646893980716417</v>
      </c>
      <c r="AR98" s="16">
        <v>0.020296747034787063</v>
      </c>
      <c r="AU98" s="14">
        <v>6400</v>
      </c>
      <c r="AV98" s="15">
        <v>3.5555555555555554</v>
      </c>
      <c r="AW98" s="14">
        <v>4</v>
      </c>
      <c r="AX98" s="14">
        <v>414.76966666666675</v>
      </c>
      <c r="AY98" s="14">
        <v>10.3</v>
      </c>
      <c r="AZ98" s="14">
        <v>27.55694140625</v>
      </c>
      <c r="BA98" s="14">
        <v>90.52532296351576</v>
      </c>
      <c r="BB98" s="14">
        <v>543.1519310364325</v>
      </c>
      <c r="BC98" s="16">
        <v>0.9465371080010865</v>
      </c>
    </row>
    <row r="99" spans="1:55" ht="12.75">
      <c r="A99" s="13">
        <v>8.5</v>
      </c>
      <c r="B99" s="19" t="s">
        <v>309</v>
      </c>
      <c r="C99" s="14">
        <v>3798</v>
      </c>
      <c r="D99" s="15">
        <v>2.11</v>
      </c>
      <c r="E99" s="14">
        <v>0</v>
      </c>
      <c r="F99" s="14">
        <v>230.7275977777778</v>
      </c>
      <c r="G99" s="14">
        <v>0</v>
      </c>
      <c r="H99" s="14">
        <v>0</v>
      </c>
      <c r="I99" s="14">
        <v>58.72547245412257</v>
      </c>
      <c r="J99" s="14">
        <v>289.45307023190037</v>
      </c>
      <c r="K99" s="22"/>
      <c r="N99" s="14">
        <v>212</v>
      </c>
      <c r="O99" s="15">
        <v>0.11777777777777777</v>
      </c>
      <c r="P99" s="14">
        <v>0</v>
      </c>
      <c r="Q99" s="14">
        <v>16.206546666666664</v>
      </c>
      <c r="R99" s="14">
        <v>0</v>
      </c>
      <c r="S99" s="14">
        <v>0</v>
      </c>
      <c r="T99" s="14">
        <v>1.2965237043537696</v>
      </c>
      <c r="U99" s="14">
        <v>17.503070371020435</v>
      </c>
      <c r="V99" s="16">
        <v>0.06046945833740007</v>
      </c>
      <c r="Y99" s="14">
        <v>176</v>
      </c>
      <c r="Z99" s="15">
        <v>0.09777777777777778</v>
      </c>
      <c r="AA99" s="14">
        <v>0</v>
      </c>
      <c r="AB99" s="14">
        <v>13.18472888888889</v>
      </c>
      <c r="AC99" s="14">
        <v>0</v>
      </c>
      <c r="AD99" s="14">
        <v>0</v>
      </c>
      <c r="AE99" s="14">
        <v>1.0547782875349787</v>
      </c>
      <c r="AF99" s="14">
        <v>14.239507176423867</v>
      </c>
      <c r="AG99" s="16">
        <v>0.04919452802838</v>
      </c>
      <c r="AJ99" s="14">
        <v>0</v>
      </c>
      <c r="AK99" s="15">
        <v>0</v>
      </c>
      <c r="AL99" s="14">
        <v>0</v>
      </c>
      <c r="AM99" s="14">
        <v>0</v>
      </c>
      <c r="AN99" s="14">
        <v>0</v>
      </c>
      <c r="AO99" s="14">
        <v>0</v>
      </c>
      <c r="AP99" s="14">
        <v>0</v>
      </c>
      <c r="AQ99" s="14">
        <v>0</v>
      </c>
      <c r="AR99" s="16">
        <v>0</v>
      </c>
      <c r="AU99" s="14">
        <v>3410</v>
      </c>
      <c r="AV99" s="15">
        <v>1.8944444444444444</v>
      </c>
      <c r="AW99" s="14">
        <v>0</v>
      </c>
      <c r="AX99" s="14">
        <v>201.33632222222224</v>
      </c>
      <c r="AY99" s="14">
        <v>0</v>
      </c>
      <c r="AZ99" s="14">
        <v>0</v>
      </c>
      <c r="BA99" s="14">
        <v>56.37417046223382</v>
      </c>
      <c r="BB99" s="14">
        <v>257.7104926844561</v>
      </c>
      <c r="BC99" s="16">
        <v>0.89033601363422</v>
      </c>
    </row>
    <row r="100" spans="1:55" ht="12.75">
      <c r="A100" s="13">
        <v>8.6</v>
      </c>
      <c r="B100" s="19" t="s">
        <v>310</v>
      </c>
      <c r="C100" s="14">
        <v>5030</v>
      </c>
      <c r="D100" s="15">
        <v>2.7944444444444443</v>
      </c>
      <c r="E100" s="14">
        <v>12</v>
      </c>
      <c r="F100" s="14">
        <v>401.14583333333337</v>
      </c>
      <c r="G100" s="14">
        <v>0</v>
      </c>
      <c r="H100" s="14">
        <v>49.5608203125</v>
      </c>
      <c r="I100" s="14">
        <v>89.56366592196785</v>
      </c>
      <c r="J100" s="14">
        <v>540.2703195678013</v>
      </c>
      <c r="K100" s="22"/>
      <c r="N100" s="14">
        <v>40</v>
      </c>
      <c r="O100" s="15">
        <v>0.022222222222222223</v>
      </c>
      <c r="P100" s="14">
        <v>0</v>
      </c>
      <c r="Q100" s="14">
        <v>3.414311111111111</v>
      </c>
      <c r="R100" s="14">
        <v>0</v>
      </c>
      <c r="S100" s="14">
        <v>0</v>
      </c>
      <c r="T100" s="14">
        <v>0.30728801221052804</v>
      </c>
      <c r="U100" s="14">
        <v>3.721599123321639</v>
      </c>
      <c r="V100" s="16">
        <v>0.006888401950895243</v>
      </c>
      <c r="Y100" s="14">
        <v>200</v>
      </c>
      <c r="Z100" s="15">
        <v>0.1111111111111111</v>
      </c>
      <c r="AA100" s="14">
        <v>0</v>
      </c>
      <c r="AB100" s="14">
        <v>18.64848888888889</v>
      </c>
      <c r="AC100" s="14">
        <v>0</v>
      </c>
      <c r="AD100" s="14">
        <v>0</v>
      </c>
      <c r="AE100" s="14">
        <v>1.6783640666921933</v>
      </c>
      <c r="AF100" s="14">
        <v>20.32685295558108</v>
      </c>
      <c r="AG100" s="16">
        <v>0.03762348627968663</v>
      </c>
      <c r="AJ100" s="14">
        <v>590</v>
      </c>
      <c r="AK100" s="15">
        <v>0.3277777777777778</v>
      </c>
      <c r="AL100" s="14">
        <v>0</v>
      </c>
      <c r="AM100" s="14">
        <v>46.23105555555556</v>
      </c>
      <c r="AN100" s="14">
        <v>0</v>
      </c>
      <c r="AO100" s="14">
        <v>0</v>
      </c>
      <c r="AP100" s="14">
        <v>11.095453085330625</v>
      </c>
      <c r="AQ100" s="14">
        <v>57.32650864088618</v>
      </c>
      <c r="AR100" s="16">
        <v>0.10610708485105295</v>
      </c>
      <c r="AU100" s="14">
        <v>4200</v>
      </c>
      <c r="AV100" s="15">
        <v>2.3333333333333335</v>
      </c>
      <c r="AW100" s="14">
        <v>12</v>
      </c>
      <c r="AX100" s="14">
        <v>332.8519777777778</v>
      </c>
      <c r="AY100" s="14">
        <v>0</v>
      </c>
      <c r="AZ100" s="14">
        <v>49.5608203125</v>
      </c>
      <c r="BA100" s="14">
        <v>76.4825607577345</v>
      </c>
      <c r="BB100" s="14">
        <v>458.8953588480123</v>
      </c>
      <c r="BC100" s="16">
        <v>0.849381026918365</v>
      </c>
    </row>
    <row r="101" spans="1:55" ht="12.75">
      <c r="A101" s="13">
        <v>8.7</v>
      </c>
      <c r="B101" s="13" t="s">
        <v>311</v>
      </c>
      <c r="C101" s="14">
        <v>3760</v>
      </c>
      <c r="D101" s="15">
        <v>2.088888888888889</v>
      </c>
      <c r="E101" s="14">
        <v>27</v>
      </c>
      <c r="F101" s="14">
        <v>265.49084444444446</v>
      </c>
      <c r="G101" s="14">
        <v>0</v>
      </c>
      <c r="H101" s="14">
        <v>148.07684375</v>
      </c>
      <c r="I101" s="14">
        <v>123.76395403342691</v>
      </c>
      <c r="J101" s="14">
        <v>537.3316422278714</v>
      </c>
      <c r="K101" s="22"/>
      <c r="N101" s="14">
        <v>0</v>
      </c>
      <c r="O101" s="15">
        <v>0</v>
      </c>
      <c r="P101" s="14">
        <v>0</v>
      </c>
      <c r="Q101" s="14">
        <v>0</v>
      </c>
      <c r="R101" s="14">
        <v>0</v>
      </c>
      <c r="S101" s="14">
        <v>0</v>
      </c>
      <c r="T101" s="14">
        <v>0</v>
      </c>
      <c r="U101" s="14">
        <v>0</v>
      </c>
      <c r="V101" s="16">
        <v>0</v>
      </c>
      <c r="Y101" s="14">
        <v>40</v>
      </c>
      <c r="Z101" s="15">
        <v>0.022222222222222223</v>
      </c>
      <c r="AA101" s="14">
        <v>0</v>
      </c>
      <c r="AB101" s="14">
        <v>1.9147333333333334</v>
      </c>
      <c r="AC101" s="14">
        <v>0</v>
      </c>
      <c r="AD101" s="14">
        <v>0</v>
      </c>
      <c r="AE101" s="14">
        <v>0.2680626678079367</v>
      </c>
      <c r="AF101" s="14">
        <v>2.18279600114127</v>
      </c>
      <c r="AG101" s="16">
        <v>0.004062288221276183</v>
      </c>
      <c r="AJ101" s="14">
        <v>0</v>
      </c>
      <c r="AK101" s="15">
        <v>0</v>
      </c>
      <c r="AL101" s="14">
        <v>0</v>
      </c>
      <c r="AM101" s="14">
        <v>0</v>
      </c>
      <c r="AN101" s="14">
        <v>0</v>
      </c>
      <c r="AO101" s="14">
        <v>0</v>
      </c>
      <c r="AP101" s="14">
        <v>0</v>
      </c>
      <c r="AQ101" s="14">
        <v>0</v>
      </c>
      <c r="AR101" s="16">
        <v>0</v>
      </c>
      <c r="AU101" s="14">
        <v>3720</v>
      </c>
      <c r="AV101" s="15">
        <v>2.066666666666667</v>
      </c>
      <c r="AW101" s="14">
        <v>27</v>
      </c>
      <c r="AX101" s="14">
        <v>263.5761111111111</v>
      </c>
      <c r="AY101" s="14">
        <v>0</v>
      </c>
      <c r="AZ101" s="14">
        <v>148.07684375</v>
      </c>
      <c r="BA101" s="14">
        <v>123.49589136561897</v>
      </c>
      <c r="BB101" s="14">
        <v>535.14884622673</v>
      </c>
      <c r="BC101" s="16">
        <v>0.9959377117787237</v>
      </c>
    </row>
    <row r="102" spans="1:55" ht="12.75">
      <c r="A102" s="13">
        <v>8.8</v>
      </c>
      <c r="B102" s="19" t="s">
        <v>312</v>
      </c>
      <c r="C102" s="14">
        <v>2420</v>
      </c>
      <c r="D102" s="15">
        <v>1.3444444444444446</v>
      </c>
      <c r="E102" s="14">
        <v>17</v>
      </c>
      <c r="F102" s="14">
        <v>150.49004444444444</v>
      </c>
      <c r="G102" s="14">
        <v>0</v>
      </c>
      <c r="H102" s="14">
        <v>64.11949755859375</v>
      </c>
      <c r="I102" s="14">
        <v>32.95809426833219</v>
      </c>
      <c r="J102" s="14">
        <v>247.5676362713704</v>
      </c>
      <c r="K102" s="22"/>
      <c r="N102" s="14">
        <v>80</v>
      </c>
      <c r="O102" s="15">
        <v>0.044444444444444446</v>
      </c>
      <c r="P102" s="14">
        <v>0</v>
      </c>
      <c r="Q102" s="14">
        <v>8.383022222222221</v>
      </c>
      <c r="R102" s="14">
        <v>0</v>
      </c>
      <c r="S102" s="14">
        <v>0</v>
      </c>
      <c r="T102" s="14">
        <v>0.5029813220908245</v>
      </c>
      <c r="U102" s="14">
        <v>8.886003544313047</v>
      </c>
      <c r="V102" s="16">
        <v>0.035893235796672085</v>
      </c>
      <c r="Y102" s="14">
        <v>460</v>
      </c>
      <c r="Z102" s="15">
        <v>0.25555555555555554</v>
      </c>
      <c r="AA102" s="14">
        <v>2</v>
      </c>
      <c r="AB102" s="14">
        <v>31.337044444444444</v>
      </c>
      <c r="AC102" s="14">
        <v>0</v>
      </c>
      <c r="AD102" s="14">
        <v>7.54347021484375</v>
      </c>
      <c r="AE102" s="14">
        <v>2.3328308274144582</v>
      </c>
      <c r="AF102" s="14">
        <v>41.21334548670265</v>
      </c>
      <c r="AG102" s="16">
        <v>0.16647307421688506</v>
      </c>
      <c r="AJ102" s="14">
        <v>600</v>
      </c>
      <c r="AK102" s="15">
        <v>0.3333333333333333</v>
      </c>
      <c r="AL102" s="14">
        <v>5</v>
      </c>
      <c r="AM102" s="14">
        <v>36.16468888888889</v>
      </c>
      <c r="AN102" s="14">
        <v>0</v>
      </c>
      <c r="AO102" s="14">
        <v>18.85867578125</v>
      </c>
      <c r="AP102" s="14">
        <v>9.904206034182772</v>
      </c>
      <c r="AQ102" s="14">
        <v>64.92757070432167</v>
      </c>
      <c r="AR102" s="16">
        <v>0.2622619486222001</v>
      </c>
      <c r="AU102" s="14">
        <v>1280</v>
      </c>
      <c r="AV102" s="15">
        <v>0.7111111111111111</v>
      </c>
      <c r="AW102" s="14">
        <v>10</v>
      </c>
      <c r="AX102" s="14">
        <v>74.6052888888889</v>
      </c>
      <c r="AY102" s="14">
        <v>0</v>
      </c>
      <c r="AZ102" s="14">
        <v>37.7173515625</v>
      </c>
      <c r="BA102" s="14">
        <v>20.218076084644135</v>
      </c>
      <c r="BB102" s="14">
        <v>132.54071653603302</v>
      </c>
      <c r="BC102" s="16">
        <v>0.5353717413642427</v>
      </c>
    </row>
    <row r="103" spans="1:56" ht="12.75">
      <c r="A103" s="8">
        <v>9</v>
      </c>
      <c r="B103" s="9" t="s">
        <v>313</v>
      </c>
      <c r="C103" s="25"/>
      <c r="D103" s="25"/>
      <c r="E103" s="25"/>
      <c r="F103" s="25"/>
      <c r="G103" s="25"/>
      <c r="H103" s="25"/>
      <c r="I103" s="25"/>
      <c r="J103" s="25"/>
      <c r="K103" s="11">
        <v>0.017773019643819027</v>
      </c>
      <c r="L103" s="12">
        <v>750.497303280387</v>
      </c>
      <c r="N103" s="25"/>
      <c r="O103" s="25"/>
      <c r="P103" s="25"/>
      <c r="Q103" s="25"/>
      <c r="R103" s="25"/>
      <c r="S103" s="25"/>
      <c r="T103" s="25"/>
      <c r="U103" s="25"/>
      <c r="V103" s="25"/>
      <c r="W103" s="12">
        <v>15.026651161514867</v>
      </c>
      <c r="Y103" s="25"/>
      <c r="Z103" s="25"/>
      <c r="AA103" s="25"/>
      <c r="AB103" s="25"/>
      <c r="AC103" s="25"/>
      <c r="AD103" s="25"/>
      <c r="AE103" s="25"/>
      <c r="AF103" s="25"/>
      <c r="AG103" s="25"/>
      <c r="AH103" s="12">
        <v>21.838346591164992</v>
      </c>
      <c r="AJ103" s="25"/>
      <c r="AK103" s="25"/>
      <c r="AL103" s="25"/>
      <c r="AM103" s="25"/>
      <c r="AN103" s="25"/>
      <c r="AO103" s="25"/>
      <c r="AP103" s="25"/>
      <c r="AQ103" s="25"/>
      <c r="AR103" s="25"/>
      <c r="AS103" s="12">
        <v>636.4099878415005</v>
      </c>
      <c r="AU103" s="25"/>
      <c r="AV103" s="25"/>
      <c r="AW103" s="25"/>
      <c r="AX103" s="25"/>
      <c r="AY103" s="25"/>
      <c r="AZ103" s="25"/>
      <c r="BA103" s="25"/>
      <c r="BB103" s="25"/>
      <c r="BC103" s="25"/>
      <c r="BD103" s="12">
        <v>77.22231768620651</v>
      </c>
    </row>
    <row r="104" spans="1:55" ht="12.75">
      <c r="A104" s="13">
        <v>9.1</v>
      </c>
      <c r="B104" s="19" t="s">
        <v>314</v>
      </c>
      <c r="C104" s="14">
        <v>636</v>
      </c>
      <c r="D104" s="15">
        <v>0.35333333333333333</v>
      </c>
      <c r="E104" s="14">
        <v>0</v>
      </c>
      <c r="F104" s="14">
        <v>42.95816444444444</v>
      </c>
      <c r="G104" s="14">
        <v>515</v>
      </c>
      <c r="H104" s="14">
        <v>0</v>
      </c>
      <c r="I104" s="14">
        <v>80.7287508546174</v>
      </c>
      <c r="J104" s="14">
        <v>638.6869152990619</v>
      </c>
      <c r="K104" s="22"/>
      <c r="N104" s="14">
        <v>96</v>
      </c>
      <c r="O104" s="15">
        <v>0.05333333333333334</v>
      </c>
      <c r="P104" s="14">
        <v>0</v>
      </c>
      <c r="Q104" s="14">
        <v>6.968853333333333</v>
      </c>
      <c r="R104" s="14">
        <v>0</v>
      </c>
      <c r="S104" s="14">
        <v>0</v>
      </c>
      <c r="T104" s="14">
        <v>0.20906559532701968</v>
      </c>
      <c r="U104" s="14">
        <v>7.177918928660352</v>
      </c>
      <c r="V104" s="16">
        <v>0.011238556414294675</v>
      </c>
      <c r="Y104" s="14">
        <v>108</v>
      </c>
      <c r="Z104" s="15">
        <v>0.06</v>
      </c>
      <c r="AA104" s="14">
        <v>0</v>
      </c>
      <c r="AB104" s="14">
        <v>7.83996</v>
      </c>
      <c r="AC104" s="14">
        <v>0</v>
      </c>
      <c r="AD104" s="14">
        <v>0</v>
      </c>
      <c r="AE104" s="14">
        <v>0.23519879474289715</v>
      </c>
      <c r="AF104" s="14">
        <v>8.075158794742897</v>
      </c>
      <c r="AG104" s="16">
        <v>0.012643375966081512</v>
      </c>
      <c r="AJ104" s="14">
        <v>216</v>
      </c>
      <c r="AK104" s="15">
        <v>0.12</v>
      </c>
      <c r="AL104" s="14">
        <v>0</v>
      </c>
      <c r="AM104" s="14">
        <v>14.690964444444443</v>
      </c>
      <c r="AN104" s="14">
        <v>504.7</v>
      </c>
      <c r="AO104" s="14">
        <v>0</v>
      </c>
      <c r="AP104" s="14">
        <v>77.90864776247807</v>
      </c>
      <c r="AQ104" s="14">
        <v>597.2996122069225</v>
      </c>
      <c r="AR104" s="16">
        <v>0.9351993878365897</v>
      </c>
      <c r="AU104" s="14">
        <v>216</v>
      </c>
      <c r="AV104" s="15">
        <v>0.12</v>
      </c>
      <c r="AW104" s="14">
        <v>0</v>
      </c>
      <c r="AX104" s="14">
        <v>13.458386666666668</v>
      </c>
      <c r="AY104" s="14">
        <v>10.3</v>
      </c>
      <c r="AZ104" s="14">
        <v>0</v>
      </c>
      <c r="BA104" s="14">
        <v>2.375838702069421</v>
      </c>
      <c r="BB104" s="14">
        <v>26.13422536873609</v>
      </c>
      <c r="BC104" s="16">
        <v>0.040918679783034026</v>
      </c>
    </row>
    <row r="105" spans="1:55" ht="12.75">
      <c r="A105" s="13">
        <v>9.2</v>
      </c>
      <c r="B105" s="19" t="s">
        <v>315</v>
      </c>
      <c r="K105" s="22"/>
      <c r="V105" s="22"/>
      <c r="AG105" s="22"/>
      <c r="AR105" s="22"/>
      <c r="BC105" s="22"/>
    </row>
    <row r="106" spans="1:55" ht="12.75">
      <c r="A106" s="26" t="s">
        <v>316</v>
      </c>
      <c r="B106" s="19" t="s">
        <v>317</v>
      </c>
      <c r="C106" s="14">
        <v>520</v>
      </c>
      <c r="D106" s="15">
        <v>0.28888888888888886</v>
      </c>
      <c r="E106" s="14">
        <v>10</v>
      </c>
      <c r="F106" s="14">
        <v>41.855466666666665</v>
      </c>
      <c r="G106" s="14">
        <v>0</v>
      </c>
      <c r="H106" s="14">
        <v>37.7173515625</v>
      </c>
      <c r="I106" s="14">
        <v>7.957281941489406</v>
      </c>
      <c r="J106" s="14">
        <v>87.53010017065608</v>
      </c>
      <c r="K106" s="22"/>
      <c r="N106" s="14">
        <v>50</v>
      </c>
      <c r="O106" s="15">
        <v>0.027777777777777776</v>
      </c>
      <c r="P106" s="14">
        <v>0</v>
      </c>
      <c r="Q106" s="14">
        <v>5.172744444444445</v>
      </c>
      <c r="R106" s="14">
        <v>0</v>
      </c>
      <c r="S106" s="14">
        <v>0</v>
      </c>
      <c r="T106" s="14">
        <v>0.5172744521524344</v>
      </c>
      <c r="U106" s="14">
        <v>5.690018896596879</v>
      </c>
      <c r="V106" s="16">
        <v>0.06500642505267487</v>
      </c>
      <c r="Y106" s="14">
        <v>90</v>
      </c>
      <c r="Z106" s="15">
        <v>0.05</v>
      </c>
      <c r="AA106" s="14">
        <v>0</v>
      </c>
      <c r="AB106" s="14">
        <v>9.097677777777779</v>
      </c>
      <c r="AC106" s="14">
        <v>0</v>
      </c>
      <c r="AD106" s="14">
        <v>0</v>
      </c>
      <c r="AE106" s="14">
        <v>0.9097677913343742</v>
      </c>
      <c r="AF106" s="14">
        <v>10.007445569112154</v>
      </c>
      <c r="AG106" s="16">
        <v>0.11433147625332075</v>
      </c>
      <c r="AJ106" s="14">
        <v>180</v>
      </c>
      <c r="AK106" s="15">
        <v>0.1</v>
      </c>
      <c r="AL106" s="14">
        <v>5</v>
      </c>
      <c r="AM106" s="14">
        <v>13.0666</v>
      </c>
      <c r="AN106" s="14">
        <v>0</v>
      </c>
      <c r="AO106" s="14">
        <v>18.85867578125</v>
      </c>
      <c r="AP106" s="14">
        <v>3.192527625697368</v>
      </c>
      <c r="AQ106" s="14">
        <v>35.11780340694737</v>
      </c>
      <c r="AR106" s="16">
        <v>0.40120830821030395</v>
      </c>
      <c r="AU106" s="14">
        <v>200</v>
      </c>
      <c r="AV106" s="15">
        <v>0.1111111111111111</v>
      </c>
      <c r="AW106" s="14">
        <v>5</v>
      </c>
      <c r="AX106" s="14">
        <v>14.518444444444443</v>
      </c>
      <c r="AY106" s="14">
        <v>0</v>
      </c>
      <c r="AZ106" s="14">
        <v>18.85867578125</v>
      </c>
      <c r="BA106" s="14">
        <v>3.3377120723052296</v>
      </c>
      <c r="BB106" s="14">
        <v>36.71483229799967</v>
      </c>
      <c r="BC106" s="16">
        <v>0.41945379048370024</v>
      </c>
    </row>
    <row r="107" spans="1:55" ht="12.75">
      <c r="A107" s="26" t="s">
        <v>318</v>
      </c>
      <c r="B107" s="19" t="s">
        <v>319</v>
      </c>
      <c r="C107" s="14">
        <v>290</v>
      </c>
      <c r="D107" s="15">
        <v>0.16111111111111112</v>
      </c>
      <c r="E107" s="14">
        <v>0</v>
      </c>
      <c r="F107" s="14">
        <v>22.072988888888887</v>
      </c>
      <c r="G107" s="14">
        <v>0</v>
      </c>
      <c r="H107" s="14">
        <v>0</v>
      </c>
      <c r="I107" s="14">
        <v>2.2072989217802053</v>
      </c>
      <c r="J107" s="14">
        <v>24.28028781066909</v>
      </c>
      <c r="K107" s="22"/>
      <c r="N107" s="14">
        <v>20</v>
      </c>
      <c r="O107" s="15">
        <v>0.011111111111111112</v>
      </c>
      <c r="P107" s="14">
        <v>0</v>
      </c>
      <c r="Q107" s="14">
        <v>1.9624666666666668</v>
      </c>
      <c r="R107" s="14">
        <v>0</v>
      </c>
      <c r="S107" s="14">
        <v>0</v>
      </c>
      <c r="T107" s="14">
        <v>0.19624666959096987</v>
      </c>
      <c r="U107" s="14">
        <v>2.1587133362576365</v>
      </c>
      <c r="V107" s="16">
        <v>0.08890806209097193</v>
      </c>
      <c r="Y107" s="14">
        <v>40</v>
      </c>
      <c r="Z107" s="15">
        <v>0.022222222222222223</v>
      </c>
      <c r="AA107" s="14">
        <v>0</v>
      </c>
      <c r="AB107" s="14">
        <v>3.414311111111111</v>
      </c>
      <c r="AC107" s="14">
        <v>0</v>
      </c>
      <c r="AD107" s="14">
        <v>0</v>
      </c>
      <c r="AE107" s="14">
        <v>0.34143111619883115</v>
      </c>
      <c r="AF107" s="14">
        <v>3.755742227309942</v>
      </c>
      <c r="AG107" s="16">
        <v>0.15468277215641643</v>
      </c>
      <c r="AJ107" s="14">
        <v>50</v>
      </c>
      <c r="AK107" s="15">
        <v>0.027777777777777776</v>
      </c>
      <c r="AL107" s="14">
        <v>0</v>
      </c>
      <c r="AM107" s="14">
        <v>3.6296111111111107</v>
      </c>
      <c r="AN107" s="14">
        <v>0</v>
      </c>
      <c r="AO107" s="14">
        <v>0</v>
      </c>
      <c r="AP107" s="14">
        <v>0.3629611165196531</v>
      </c>
      <c r="AQ107" s="14">
        <v>3.992572227630764</v>
      </c>
      <c r="AR107" s="16">
        <v>0.16443677516361124</v>
      </c>
      <c r="AU107" s="14">
        <v>180</v>
      </c>
      <c r="AV107" s="15">
        <v>0.1</v>
      </c>
      <c r="AW107" s="14">
        <v>0</v>
      </c>
      <c r="AX107" s="14">
        <v>13.0666</v>
      </c>
      <c r="AY107" s="14">
        <v>0</v>
      </c>
      <c r="AZ107" s="14">
        <v>0</v>
      </c>
      <c r="BA107" s="14">
        <v>1.3066600194707512</v>
      </c>
      <c r="BB107" s="14">
        <v>14.37326001947075</v>
      </c>
      <c r="BC107" s="16">
        <v>0.5919723905890005</v>
      </c>
    </row>
    <row r="108" spans="1:56" ht="12.75">
      <c r="A108" s="27"/>
      <c r="B108" s="28" t="s">
        <v>156</v>
      </c>
      <c r="C108" s="20">
        <v>231944.49996948242</v>
      </c>
      <c r="D108" s="20">
        <v>128.85805553860138</v>
      </c>
      <c r="E108" s="20">
        <v>549</v>
      </c>
      <c r="F108" s="20">
        <v>16044.976910830925</v>
      </c>
      <c r="G108" s="20">
        <v>16803.963489999995</v>
      </c>
      <c r="H108" s="20">
        <v>1681.293841796875</v>
      </c>
      <c r="I108" s="20">
        <v>7696.540853600122</v>
      </c>
      <c r="J108" s="20">
        <v>42226.775096227924</v>
      </c>
      <c r="K108" s="29">
        <v>1</v>
      </c>
      <c r="L108" s="12">
        <v>42226.775096227924</v>
      </c>
      <c r="N108" s="20">
        <v>34375.100006103516</v>
      </c>
      <c r="O108" s="20">
        <v>19.09727778116863</v>
      </c>
      <c r="P108" s="20">
        <v>95</v>
      </c>
      <c r="Q108" s="20">
        <v>2581.557151265564</v>
      </c>
      <c r="R108" s="20">
        <v>216.19899999999998</v>
      </c>
      <c r="S108" s="20">
        <v>223.7109685058594</v>
      </c>
      <c r="T108" s="20">
        <v>457.57495708176396</v>
      </c>
      <c r="U108" s="20">
        <v>3479.042076853188</v>
      </c>
      <c r="V108" s="16">
        <v>0.08238948081933843</v>
      </c>
      <c r="W108" s="12">
        <v>3479.042076853188</v>
      </c>
      <c r="Y108" s="20">
        <v>75528.8999633789</v>
      </c>
      <c r="Z108" s="20">
        <v>41.960499979654976</v>
      </c>
      <c r="AA108" s="20">
        <v>136</v>
      </c>
      <c r="AB108" s="20">
        <v>5515.927220120916</v>
      </c>
      <c r="AC108" s="20">
        <v>1827.249</v>
      </c>
      <c r="AD108" s="20">
        <v>354.224421875</v>
      </c>
      <c r="AE108" s="20">
        <v>1402.6897561623814</v>
      </c>
      <c r="AF108" s="20">
        <v>9100.0903981583</v>
      </c>
      <c r="AG108" s="16">
        <v>0.21550521860645716</v>
      </c>
      <c r="AH108" s="12">
        <v>9100.0903981583</v>
      </c>
      <c r="AJ108" s="20">
        <v>88076.5</v>
      </c>
      <c r="AK108" s="20">
        <v>48.931388888888904</v>
      </c>
      <c r="AL108" s="20">
        <v>195</v>
      </c>
      <c r="AM108" s="20">
        <v>5660.918846666669</v>
      </c>
      <c r="AN108" s="20">
        <v>14510.134489999997</v>
      </c>
      <c r="AO108" s="20">
        <v>625.5955270996093</v>
      </c>
      <c r="AP108" s="20">
        <v>5234.36280434702</v>
      </c>
      <c r="AQ108" s="20">
        <v>26031.011668113308</v>
      </c>
      <c r="AR108" s="16">
        <v>0.6164574871936794</v>
      </c>
      <c r="AS108" s="12">
        <v>26031.011668113293</v>
      </c>
      <c r="AU108" s="20">
        <v>34174</v>
      </c>
      <c r="AV108" s="20">
        <v>18.985555555555557</v>
      </c>
      <c r="AW108" s="20">
        <v>123</v>
      </c>
      <c r="AX108" s="20">
        <v>2286.573692777778</v>
      </c>
      <c r="AY108" s="20">
        <v>250.38100000000003</v>
      </c>
      <c r="AZ108" s="20">
        <v>477.76292431640616</v>
      </c>
      <c r="BA108" s="20">
        <v>601.9133360089592</v>
      </c>
      <c r="BB108" s="20">
        <v>3616.6309531031434</v>
      </c>
      <c r="BC108" s="16">
        <v>0.08564781338052532</v>
      </c>
      <c r="BD108" s="12">
        <v>3616.6309531031434</v>
      </c>
    </row>
  </sheetData>
  <mergeCells count="25">
    <mergeCell ref="AU1:BD1"/>
    <mergeCell ref="AU2:AV2"/>
    <mergeCell ref="AW2:AW3"/>
    <mergeCell ref="AX2:BB2"/>
    <mergeCell ref="BC2:BC3"/>
    <mergeCell ref="AB2:AF2"/>
    <mergeCell ref="AG2:AG3"/>
    <mergeCell ref="Y1:AH1"/>
    <mergeCell ref="AJ1:AS1"/>
    <mergeCell ref="AJ2:AK2"/>
    <mergeCell ref="AL2:AL3"/>
    <mergeCell ref="AM2:AQ2"/>
    <mergeCell ref="AR2:AR3"/>
    <mergeCell ref="AA2:AA3"/>
    <mergeCell ref="Y2:Z2"/>
    <mergeCell ref="C1:L1"/>
    <mergeCell ref="N2:O2"/>
    <mergeCell ref="P2:P3"/>
    <mergeCell ref="Q2:U2"/>
    <mergeCell ref="N1:W1"/>
    <mergeCell ref="V2:V3"/>
    <mergeCell ref="C2:D2"/>
    <mergeCell ref="E2:E3"/>
    <mergeCell ref="F2:J2"/>
    <mergeCell ref="K2:K3"/>
  </mergeCells>
  <printOptions/>
  <pageMargins left="0.45" right="0.17" top="0.54" bottom="0.3" header="0.35"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P52"/>
  <sheetViews>
    <sheetView workbookViewId="0" topLeftCell="A1">
      <selection activeCell="A28" sqref="A28"/>
    </sheetView>
  </sheetViews>
  <sheetFormatPr defaultColWidth="9.140625" defaultRowHeight="12.75"/>
  <cols>
    <col min="1" max="1" width="37.140625" style="0" customWidth="1"/>
    <col min="2" max="2" width="11.7109375" style="0" customWidth="1"/>
    <col min="3" max="3" width="6.57421875" style="0" customWidth="1"/>
    <col min="4" max="4" width="12.421875" style="0" customWidth="1"/>
    <col min="5" max="5" width="6.57421875" style="0" customWidth="1"/>
    <col min="6" max="6" width="12.421875" style="0" customWidth="1"/>
    <col min="7" max="7" width="6.57421875" style="0" customWidth="1"/>
    <col min="8" max="8" width="12.421875" style="0" customWidth="1"/>
    <col min="9" max="9" width="6.57421875" style="0" customWidth="1"/>
    <col min="10" max="10" width="12.421875" style="0" customWidth="1"/>
    <col min="11" max="11" width="6.57421875" style="0" customWidth="1"/>
    <col min="12" max="12" width="12.421875" style="0" customWidth="1"/>
    <col min="13" max="13" width="6.57421875" style="0" customWidth="1"/>
    <col min="14" max="14" width="12.421875" style="0" customWidth="1"/>
    <col min="15" max="15" width="5.28125" style="0" customWidth="1"/>
    <col min="16" max="16" width="7.140625" style="0" customWidth="1"/>
    <col min="17" max="17" width="12.28125" style="0" customWidth="1"/>
  </cols>
  <sheetData>
    <row r="1" spans="2:4" ht="12.75">
      <c r="B1" t="s">
        <v>378</v>
      </c>
      <c r="C1">
        <v>1824</v>
      </c>
      <c r="D1" t="s">
        <v>372</v>
      </c>
    </row>
    <row r="2" spans="2:4" ht="12.75">
      <c r="B2" t="s">
        <v>380</v>
      </c>
      <c r="C2" s="120">
        <v>0.035</v>
      </c>
      <c r="D2" t="s">
        <v>381</v>
      </c>
    </row>
    <row r="3" spans="3:12" ht="12.75">
      <c r="C3" s="77">
        <v>2</v>
      </c>
      <c r="D3" s="83"/>
      <c r="E3" s="77">
        <v>3</v>
      </c>
      <c r="F3" s="83"/>
      <c r="G3" s="77">
        <v>4</v>
      </c>
      <c r="H3" s="83"/>
      <c r="I3" s="77">
        <v>5</v>
      </c>
      <c r="J3" s="83"/>
      <c r="K3" s="77">
        <v>6</v>
      </c>
      <c r="L3" s="83"/>
    </row>
    <row r="4" spans="3:16" ht="12.75">
      <c r="C4" s="77" t="s">
        <v>360</v>
      </c>
      <c r="D4" s="83"/>
      <c r="E4" s="77" t="s">
        <v>364</v>
      </c>
      <c r="F4" s="83"/>
      <c r="G4" s="77" t="s">
        <v>365</v>
      </c>
      <c r="H4" s="83"/>
      <c r="I4" s="77" t="s">
        <v>366</v>
      </c>
      <c r="J4" s="83"/>
      <c r="K4" s="77" t="s">
        <v>367</v>
      </c>
      <c r="L4" s="83"/>
      <c r="O4" s="77"/>
      <c r="P4" s="35"/>
    </row>
    <row r="5" spans="1:16" ht="12.75">
      <c r="A5" s="65" t="s">
        <v>361</v>
      </c>
      <c r="C5" s="85" t="s">
        <v>362</v>
      </c>
      <c r="D5" s="86"/>
      <c r="E5" s="87" t="s">
        <v>363</v>
      </c>
      <c r="F5" s="88"/>
      <c r="G5" s="89" t="s">
        <v>368</v>
      </c>
      <c r="H5" s="90"/>
      <c r="I5" s="89"/>
      <c r="J5" s="90"/>
      <c r="K5" s="89"/>
      <c r="L5" s="90"/>
      <c r="O5" s="77"/>
      <c r="P5" s="35"/>
    </row>
    <row r="6" spans="3:16" ht="12.75">
      <c r="C6" s="77"/>
      <c r="D6" s="83"/>
      <c r="E6" s="77"/>
      <c r="F6" s="83"/>
      <c r="G6" s="77"/>
      <c r="H6" s="83"/>
      <c r="I6" s="77"/>
      <c r="J6" s="83"/>
      <c r="K6" s="77"/>
      <c r="L6" s="83"/>
      <c r="M6" s="84" t="s">
        <v>382</v>
      </c>
      <c r="N6" s="83"/>
      <c r="O6" s="77"/>
      <c r="P6" s="35"/>
    </row>
    <row r="7" spans="1:16" ht="12.75">
      <c r="A7" s="69" t="s">
        <v>351</v>
      </c>
      <c r="B7" s="76" t="s">
        <v>350</v>
      </c>
      <c r="C7" s="74" t="s">
        <v>352</v>
      </c>
      <c r="D7" s="68" t="s">
        <v>353</v>
      </c>
      <c r="E7" s="74" t="s">
        <v>352</v>
      </c>
      <c r="F7" s="68" t="s">
        <v>353</v>
      </c>
      <c r="G7" s="74" t="s">
        <v>352</v>
      </c>
      <c r="H7" s="68" t="s">
        <v>353</v>
      </c>
      <c r="I7" s="74" t="s">
        <v>352</v>
      </c>
      <c r="J7" s="68" t="s">
        <v>353</v>
      </c>
      <c r="K7" s="74" t="s">
        <v>352</v>
      </c>
      <c r="L7" s="68" t="s">
        <v>353</v>
      </c>
      <c r="M7" s="74" t="s">
        <v>352</v>
      </c>
      <c r="N7" s="68" t="s">
        <v>353</v>
      </c>
      <c r="O7" s="77"/>
      <c r="P7" s="35" t="s">
        <v>379</v>
      </c>
    </row>
    <row r="8" spans="1:16" ht="12.75">
      <c r="A8" t="s">
        <v>162</v>
      </c>
      <c r="B8" s="77"/>
      <c r="C8" s="75"/>
      <c r="D8" s="67"/>
      <c r="E8" s="75"/>
      <c r="F8" s="67"/>
      <c r="G8" s="75"/>
      <c r="H8" s="67"/>
      <c r="I8" s="75"/>
      <c r="J8" s="67"/>
      <c r="K8" s="75"/>
      <c r="L8" s="67"/>
      <c r="M8" s="75"/>
      <c r="N8" s="67"/>
      <c r="O8" s="77"/>
      <c r="P8" s="35"/>
    </row>
    <row r="9" spans="1:16" ht="12.75">
      <c r="A9" t="s">
        <v>343</v>
      </c>
      <c r="B9" s="78" t="s">
        <v>355</v>
      </c>
      <c r="C9" s="75">
        <f>$C$1*0.5</f>
        <v>912</v>
      </c>
      <c r="D9" s="67">
        <f>C9*$P9*(1+$C$2)^C$3</f>
        <v>58617.43199999999</v>
      </c>
      <c r="E9" s="75">
        <f>$C$1*0.5</f>
        <v>912</v>
      </c>
      <c r="F9" s="67">
        <f>E9*$P9*(1+$C$2)^E$3</f>
        <v>60669.042119999984</v>
      </c>
      <c r="G9" s="75">
        <f>$C$1*0.5</f>
        <v>912</v>
      </c>
      <c r="H9" s="67">
        <f>G9*$P9*(1+$C$2)^G$3</f>
        <v>62792.45859419998</v>
      </c>
      <c r="I9" s="75"/>
      <c r="J9" s="67">
        <f>I9*$P9*(1+$C$2)^I$3</f>
        <v>0</v>
      </c>
      <c r="K9" s="75"/>
      <c r="L9" s="67">
        <f>K9*$P9*(1+$C$2)^K$3</f>
        <v>0</v>
      </c>
      <c r="M9" s="75">
        <f>C9+E9+G9+I9+K9</f>
        <v>2736</v>
      </c>
      <c r="N9" s="67">
        <f>D9+F9+H9+J9+L9</f>
        <v>182078.93271419994</v>
      </c>
      <c r="O9" s="77"/>
      <c r="P9" s="82">
        <v>60</v>
      </c>
    </row>
    <row r="10" spans="1:16" ht="12.75">
      <c r="A10" t="s">
        <v>342</v>
      </c>
      <c r="B10" s="78" t="s">
        <v>355</v>
      </c>
      <c r="C10" s="75">
        <f>$C$1*1.5</f>
        <v>2736</v>
      </c>
      <c r="D10" s="67">
        <f>C10*$P10*(1+$C$2)^C$3</f>
        <v>175852.29599999997</v>
      </c>
      <c r="E10" s="75">
        <f>$C$1*1.5</f>
        <v>2736</v>
      </c>
      <c r="F10" s="67">
        <f>E10*$P10*(1+$C$2)^E$3</f>
        <v>182007.12635999997</v>
      </c>
      <c r="G10" s="75">
        <f>$C$1*0.5</f>
        <v>912</v>
      </c>
      <c r="H10" s="67">
        <f>G10*$P10*(1+$C$2)^G$3</f>
        <v>62792.45859419998</v>
      </c>
      <c r="I10" s="75">
        <f>$C$1*0.5</f>
        <v>912</v>
      </c>
      <c r="J10" s="67">
        <f>I10*$P10*(1+$C$2)^I$3</f>
        <v>64990.19464499697</v>
      </c>
      <c r="K10" s="75">
        <f>$C$1*0.5*0.25</f>
        <v>228</v>
      </c>
      <c r="L10" s="67">
        <f>K10*$P10*(1+$C$2)^K$3</f>
        <v>16816.21286439297</v>
      </c>
      <c r="M10" s="75">
        <f aca="true" t="shared" si="0" ref="M10:N13">C10+E10+G10+I10+K10</f>
        <v>7524</v>
      </c>
      <c r="N10" s="67">
        <f t="shared" si="0"/>
        <v>502458.28846358985</v>
      </c>
      <c r="O10" s="77"/>
      <c r="P10" s="82">
        <v>60</v>
      </c>
    </row>
    <row r="11" spans="1:16" ht="12.75">
      <c r="A11" t="s">
        <v>344</v>
      </c>
      <c r="B11" s="78" t="s">
        <v>355</v>
      </c>
      <c r="C11" s="75">
        <f>$C$1*0.2</f>
        <v>364.8</v>
      </c>
      <c r="D11" s="67">
        <f>C11*$P11*(1+$C$2)^C$3</f>
        <v>23446.972799999996</v>
      </c>
      <c r="E11" s="75">
        <f>$C$1*0.2</f>
        <v>364.8</v>
      </c>
      <c r="F11" s="67">
        <f>E11*$P11*(1+$C$2)^E$3</f>
        <v>24267.616847999994</v>
      </c>
      <c r="G11" s="75">
        <f>$C$1*0.5</f>
        <v>912</v>
      </c>
      <c r="H11" s="67">
        <f>G11*$P11*(1+$C$2)^G$3</f>
        <v>62792.45859419998</v>
      </c>
      <c r="I11" s="75">
        <f>$C$1*0.5</f>
        <v>912</v>
      </c>
      <c r="J11" s="67">
        <f>I11*$P11*(1+$C$2)^I$3</f>
        <v>64990.19464499697</v>
      </c>
      <c r="K11" s="75">
        <f>$C$1*0.5*0.25</f>
        <v>228</v>
      </c>
      <c r="L11" s="67">
        <f>K11*$P11*(1+$C$2)^K$3</f>
        <v>16816.21286439297</v>
      </c>
      <c r="M11" s="75">
        <f t="shared" si="0"/>
        <v>2781.6</v>
      </c>
      <c r="N11" s="67">
        <f t="shared" si="0"/>
        <v>192313.4557515899</v>
      </c>
      <c r="O11" s="77"/>
      <c r="P11" s="82">
        <v>60</v>
      </c>
    </row>
    <row r="12" spans="1:16" ht="12.75">
      <c r="A12" t="s">
        <v>345</v>
      </c>
      <c r="B12" s="78" t="s">
        <v>355</v>
      </c>
      <c r="C12" s="75">
        <f>$C$1*0.2</f>
        <v>364.8</v>
      </c>
      <c r="D12" s="67">
        <f>C12*$P12*(1+$C$2)^C$3</f>
        <v>23446.972799999996</v>
      </c>
      <c r="E12" s="75">
        <f>$C$1*0.2</f>
        <v>364.8</v>
      </c>
      <c r="F12" s="67">
        <f>E12*$P12*(1+$C$2)^E$3</f>
        <v>24267.616847999994</v>
      </c>
      <c r="G12" s="75">
        <f>$C$1*0.5</f>
        <v>912</v>
      </c>
      <c r="H12" s="67">
        <f>G12*$P12*(1+$C$2)^G$3</f>
        <v>62792.45859419998</v>
      </c>
      <c r="I12" s="75">
        <f>$C$1*0.5</f>
        <v>912</v>
      </c>
      <c r="J12" s="67">
        <f>I12*$P12*(1+$C$2)^I$3</f>
        <v>64990.19464499697</v>
      </c>
      <c r="K12" s="75">
        <f>$C$1*0.5*0.25</f>
        <v>228</v>
      </c>
      <c r="L12" s="67">
        <f>K12*$P12*(1+$C$2)^K$3</f>
        <v>16816.21286439297</v>
      </c>
      <c r="M12" s="75">
        <f t="shared" si="0"/>
        <v>2781.6</v>
      </c>
      <c r="N12" s="67">
        <f t="shared" si="0"/>
        <v>192313.4557515899</v>
      </c>
      <c r="O12" s="77"/>
      <c r="P12" s="82">
        <v>60</v>
      </c>
    </row>
    <row r="13" spans="1:16" ht="12.75">
      <c r="A13" t="s">
        <v>373</v>
      </c>
      <c r="B13" s="78">
        <v>3</v>
      </c>
      <c r="C13" s="75">
        <f>$C$1*0.2</f>
        <v>364.8</v>
      </c>
      <c r="D13" s="67">
        <f>C13*$P13*(1+$C$2)^C$3</f>
        <v>22274.62416</v>
      </c>
      <c r="E13" s="75">
        <f>$C$1*0.2</f>
        <v>364.8</v>
      </c>
      <c r="F13" s="67">
        <f>E13*$P13*(1+$C$2)^E$3</f>
        <v>23054.236005599996</v>
      </c>
      <c r="G13" s="75">
        <f>$C$1*0.2</f>
        <v>364.8</v>
      </c>
      <c r="H13" s="67">
        <f>G13*$P13*(1+$C$2)^G$3</f>
        <v>23861.134265795998</v>
      </c>
      <c r="I13" s="75">
        <f>$C$1*0.2</f>
        <v>364.8</v>
      </c>
      <c r="J13" s="67">
        <f>I13*$P13*(1+$C$2)^I$3</f>
        <v>24696.27396509885</v>
      </c>
      <c r="K13" s="75">
        <f>$C$1*0.2*0.25</f>
        <v>91.2</v>
      </c>
      <c r="L13" s="67">
        <f>K13*$P13*(1+$C$2)^K$3</f>
        <v>6390.160888469329</v>
      </c>
      <c r="M13" s="75">
        <f t="shared" si="0"/>
        <v>1550.4</v>
      </c>
      <c r="N13" s="67">
        <f t="shared" si="0"/>
        <v>100276.42928496416</v>
      </c>
      <c r="O13" s="77"/>
      <c r="P13" s="82">
        <v>57</v>
      </c>
    </row>
    <row r="14" spans="1:16" ht="12.75">
      <c r="A14" t="s">
        <v>346</v>
      </c>
      <c r="B14" s="78"/>
      <c r="C14" s="75"/>
      <c r="D14" s="67"/>
      <c r="E14" s="75"/>
      <c r="F14" s="67"/>
      <c r="G14" s="75"/>
      <c r="H14" s="67"/>
      <c r="I14" s="75"/>
      <c r="J14" s="67"/>
      <c r="K14" s="75"/>
      <c r="L14" s="67"/>
      <c r="M14" s="75"/>
      <c r="N14" s="67"/>
      <c r="O14" s="77"/>
      <c r="P14" s="82"/>
    </row>
    <row r="15" spans="1:16" ht="12.75">
      <c r="A15" t="s">
        <v>161</v>
      </c>
      <c r="B15" s="78">
        <v>4</v>
      </c>
      <c r="C15" s="75">
        <f>$C$1*0.25</f>
        <v>456</v>
      </c>
      <c r="D15" s="67">
        <f>C15*$P15*(1+$C$2)^C$3</f>
        <v>31751.108999999997</v>
      </c>
      <c r="E15" s="75">
        <f>$C$1*0.25</f>
        <v>456</v>
      </c>
      <c r="F15" s="67">
        <f>E15*$P15*(1+$C$2)^E$3</f>
        <v>32862.39781499999</v>
      </c>
      <c r="G15" s="75">
        <f>$C$1*0.25</f>
        <v>456</v>
      </c>
      <c r="H15" s="67">
        <f>G15*$P15*(1+$C$2)^G$3</f>
        <v>34012.58173852499</v>
      </c>
      <c r="I15" s="75">
        <f>$C$1*0.25</f>
        <v>456</v>
      </c>
      <c r="J15" s="67">
        <f>I15*$P15*(1+$C$2)^I$3</f>
        <v>35203.02209937336</v>
      </c>
      <c r="K15" s="75">
        <f>$C$1*0.25*0.25</f>
        <v>114</v>
      </c>
      <c r="L15" s="67">
        <f>K15*$P15*(1+$C$2)^K$3</f>
        <v>9108.781968212857</v>
      </c>
      <c r="M15" s="75">
        <f>C15+E15+G15+I15+K15</f>
        <v>1938</v>
      </c>
      <c r="N15" s="67">
        <f>D15+F15+H15+J15+L15</f>
        <v>142937.8926211112</v>
      </c>
      <c r="O15" s="77"/>
      <c r="P15" s="82">
        <v>65</v>
      </c>
    </row>
    <row r="16" spans="1:16" ht="12.75">
      <c r="A16" s="68" t="s">
        <v>357</v>
      </c>
      <c r="B16" s="79">
        <v>5</v>
      </c>
      <c r="C16" s="74"/>
      <c r="D16" s="70">
        <f>C16*$P16*(1+$C$2)^C$3</f>
        <v>0</v>
      </c>
      <c r="E16" s="74"/>
      <c r="F16" s="70">
        <f>E16*$P16*(1+$C$2)^E$3</f>
        <v>0</v>
      </c>
      <c r="G16" s="74">
        <f>$C$1*1.5</f>
        <v>2736</v>
      </c>
      <c r="H16" s="70">
        <f>G16*$P16*(1+$C$2)^G$3</f>
        <v>109886.80253984997</v>
      </c>
      <c r="I16" s="74">
        <f>$C$1*1.5</f>
        <v>2736</v>
      </c>
      <c r="J16" s="70">
        <f>I16*$P16*(1+$C$2)^I$3</f>
        <v>113732.8406287447</v>
      </c>
      <c r="K16" s="74">
        <f>$C$1*2*0.25</f>
        <v>912</v>
      </c>
      <c r="L16" s="70">
        <f>K16*$P16*(1+$C$2)^K$3</f>
        <v>39237.83001691692</v>
      </c>
      <c r="M16" s="74">
        <f>C16+E16+G16+I16+K16</f>
        <v>6384</v>
      </c>
      <c r="N16" s="70">
        <f>D16+F16+H16+J16+L16</f>
        <v>262857.4731855116</v>
      </c>
      <c r="O16" s="77"/>
      <c r="P16" s="82">
        <v>35</v>
      </c>
    </row>
    <row r="17" spans="1:16" ht="12.75">
      <c r="A17" s="65" t="s">
        <v>369</v>
      </c>
      <c r="B17" s="78"/>
      <c r="C17" s="75"/>
      <c r="D17" s="67">
        <f>SUM(D9:D16)</f>
        <v>335389.40676</v>
      </c>
      <c r="E17" s="75"/>
      <c r="F17" s="67">
        <f>SUM(F9:F16)</f>
        <v>347128.0359965999</v>
      </c>
      <c r="G17" s="75"/>
      <c r="H17" s="67">
        <f>SUM(H9:H16)</f>
        <v>418930.3529209709</v>
      </c>
      <c r="I17" s="75"/>
      <c r="J17" s="67">
        <f>SUM(J9:J16)</f>
        <v>368602.72062820784</v>
      </c>
      <c r="K17" s="75"/>
      <c r="L17" s="67">
        <f>SUM(L9:L16)</f>
        <v>105185.41146677801</v>
      </c>
      <c r="M17" s="75"/>
      <c r="N17" s="67">
        <f>SUM(N9:N16)</f>
        <v>1575235.9277725567</v>
      </c>
      <c r="O17" s="77"/>
      <c r="P17" s="35"/>
    </row>
    <row r="18" spans="1:16" ht="12.75">
      <c r="A18" t="s">
        <v>358</v>
      </c>
      <c r="B18" s="78">
        <v>6</v>
      </c>
      <c r="C18" s="75"/>
      <c r="D18" s="67">
        <f>D17*0.3</f>
        <v>100616.822028</v>
      </c>
      <c r="E18" s="75"/>
      <c r="F18" s="67">
        <f>F17*0.3</f>
        <v>104138.41079897997</v>
      </c>
      <c r="G18" s="75"/>
      <c r="H18" s="67">
        <f>H17*0.3</f>
        <v>125679.10587629126</v>
      </c>
      <c r="I18" s="75"/>
      <c r="J18" s="67">
        <f>J17*0.3</f>
        <v>110580.81618846236</v>
      </c>
      <c r="K18" s="75"/>
      <c r="L18" s="67">
        <f>L17*0.3</f>
        <v>31555.6234400334</v>
      </c>
      <c r="M18" s="75"/>
      <c r="N18" s="67">
        <f>N17*0.3</f>
        <v>472570.77833176695</v>
      </c>
      <c r="O18" s="77"/>
      <c r="P18" s="35"/>
    </row>
    <row r="19" spans="1:16" ht="12.75">
      <c r="A19" s="71" t="s">
        <v>370</v>
      </c>
      <c r="B19" s="80"/>
      <c r="C19" s="81"/>
      <c r="D19" s="73">
        <f>D17+D18</f>
        <v>436006.22878799995</v>
      </c>
      <c r="E19" s="81"/>
      <c r="F19" s="73">
        <f>F17+F18</f>
        <v>451266.44679557986</v>
      </c>
      <c r="G19" s="81"/>
      <c r="H19" s="73">
        <f>H17+H18</f>
        <v>544609.4587972622</v>
      </c>
      <c r="I19" s="81"/>
      <c r="J19" s="73">
        <f>J17+J18</f>
        <v>479183.5368166702</v>
      </c>
      <c r="K19" s="81"/>
      <c r="L19" s="73">
        <f>L17+L18</f>
        <v>136741.0349068114</v>
      </c>
      <c r="M19" s="81"/>
      <c r="N19" s="73">
        <f>N17+N18</f>
        <v>2047806.7061043237</v>
      </c>
      <c r="O19" s="77"/>
      <c r="P19" s="35"/>
    </row>
    <row r="20" spans="1:16" ht="12.75">
      <c r="A20" t="s">
        <v>347</v>
      </c>
      <c r="B20" s="78"/>
      <c r="C20" s="75"/>
      <c r="D20" s="67"/>
      <c r="E20" s="75"/>
      <c r="F20" s="67"/>
      <c r="G20" s="75"/>
      <c r="H20" s="67"/>
      <c r="I20" s="75"/>
      <c r="J20" s="67"/>
      <c r="K20" s="75"/>
      <c r="L20" s="67"/>
      <c r="M20" s="75"/>
      <c r="N20" s="67"/>
      <c r="O20" s="77"/>
      <c r="P20" s="35"/>
    </row>
    <row r="21" spans="1:16" ht="12.75">
      <c r="A21" t="s">
        <v>348</v>
      </c>
      <c r="B21" s="78"/>
      <c r="C21" s="75"/>
      <c r="D21" s="67"/>
      <c r="E21" s="75"/>
      <c r="F21" s="67">
        <f>B39</f>
        <v>600000</v>
      </c>
      <c r="G21" s="75"/>
      <c r="H21" s="67">
        <f>($B$52-$B$39)/2</f>
        <v>431250</v>
      </c>
      <c r="I21" s="75"/>
      <c r="J21" s="67">
        <f>($B$52-$B$39)/2</f>
        <v>431250</v>
      </c>
      <c r="K21" s="75"/>
      <c r="L21" s="67"/>
      <c r="M21" s="75"/>
      <c r="N21" s="67">
        <f>D21+F21+H21+J21+L21</f>
        <v>1462500</v>
      </c>
      <c r="O21" s="77"/>
      <c r="P21" s="35"/>
    </row>
    <row r="22" spans="1:16" ht="12.75">
      <c r="A22" t="s">
        <v>349</v>
      </c>
      <c r="B22" s="78"/>
      <c r="C22" s="75"/>
      <c r="D22" s="67">
        <v>10000</v>
      </c>
      <c r="E22" s="75"/>
      <c r="F22" s="67">
        <f>$D22*(1+$C$2)^C$3</f>
        <v>10712.249999999998</v>
      </c>
      <c r="G22" s="75"/>
      <c r="H22" s="67">
        <f>$D22*(1+$C$2)^E$3</f>
        <v>11087.178749999997</v>
      </c>
      <c r="I22" s="75"/>
      <c r="J22" s="67">
        <f>$D22*(1+$C$2)^G$3</f>
        <v>11475.230006249996</v>
      </c>
      <c r="K22" s="75"/>
      <c r="L22" s="67">
        <f>($D22*(1+$C$2)^I$3)*0.25</f>
        <v>2969.215764117186</v>
      </c>
      <c r="M22" s="75"/>
      <c r="N22" s="67">
        <f>D22+F22+H22+J22+L22</f>
        <v>46243.87452036718</v>
      </c>
      <c r="O22" s="77"/>
      <c r="P22" s="35"/>
    </row>
    <row r="23" spans="1:16" ht="12.75">
      <c r="A23" t="s">
        <v>167</v>
      </c>
      <c r="B23" s="78"/>
      <c r="C23" s="75"/>
      <c r="D23" s="67">
        <v>20000</v>
      </c>
      <c r="E23" s="75"/>
      <c r="F23" s="67">
        <f>$D23*(1+$C$2)^C$3</f>
        <v>21424.499999999996</v>
      </c>
      <c r="G23" s="75"/>
      <c r="H23" s="67">
        <f>$D23*(1+$C$2)^E$3</f>
        <v>22174.357499999995</v>
      </c>
      <c r="I23" s="75"/>
      <c r="J23" s="67">
        <f>$D23*(1+$C$2)^G$3</f>
        <v>22950.460012499992</v>
      </c>
      <c r="K23" s="75"/>
      <c r="L23" s="67">
        <f>($D23*(1+$C$2)^I$3)*0.5</f>
        <v>11876.863056468745</v>
      </c>
      <c r="M23" s="75"/>
      <c r="N23" s="67">
        <f>D23+F23+H23+J23+L23</f>
        <v>98426.18056896873</v>
      </c>
      <c r="O23" s="77"/>
      <c r="P23" s="35"/>
    </row>
    <row r="24" spans="1:16" ht="12.75">
      <c r="A24" s="71" t="s">
        <v>359</v>
      </c>
      <c r="B24" s="80"/>
      <c r="C24" s="81"/>
      <c r="D24" s="73">
        <f>SUM(D21:D23)</f>
        <v>30000</v>
      </c>
      <c r="E24" s="81"/>
      <c r="F24" s="73">
        <f>SUM(F21:F23)</f>
        <v>632136.75</v>
      </c>
      <c r="G24" s="81"/>
      <c r="H24" s="73">
        <f>SUM(H21:H23)</f>
        <v>464511.53625</v>
      </c>
      <c r="I24" s="81"/>
      <c r="J24" s="73">
        <f>SUM(J21:J23)</f>
        <v>465675.69001874997</v>
      </c>
      <c r="K24" s="81"/>
      <c r="L24" s="73">
        <f>SUM(L21:L23)</f>
        <v>14846.078820585932</v>
      </c>
      <c r="M24" s="81"/>
      <c r="N24" s="73">
        <f>SUM(N21:N23)</f>
        <v>1607170.055089336</v>
      </c>
      <c r="O24" s="77"/>
      <c r="P24" s="35"/>
    </row>
    <row r="25" spans="1:16" ht="12.75">
      <c r="A25" s="65" t="s">
        <v>356</v>
      </c>
      <c r="B25" s="78"/>
      <c r="C25" s="75"/>
      <c r="D25" s="67">
        <f>D19+D24</f>
        <v>466006.22878799995</v>
      </c>
      <c r="E25" s="75"/>
      <c r="F25" s="67">
        <f>F19+F24</f>
        <v>1083403.19679558</v>
      </c>
      <c r="G25" s="75"/>
      <c r="H25" s="67">
        <f>H19+H24</f>
        <v>1009120.9950472622</v>
      </c>
      <c r="I25" s="75"/>
      <c r="J25" s="67">
        <f>J19+J24</f>
        <v>944859.2268354201</v>
      </c>
      <c r="K25" s="75"/>
      <c r="L25" s="67">
        <f>L19+L24</f>
        <v>151587.11372739734</v>
      </c>
      <c r="M25" s="75"/>
      <c r="N25" s="67">
        <f>N19+N24</f>
        <v>3654976.7611936596</v>
      </c>
      <c r="O25" s="77"/>
      <c r="P25" s="35"/>
    </row>
    <row r="27" ht="12.75">
      <c r="A27" t="s">
        <v>354</v>
      </c>
    </row>
    <row r="28" ht="12.75">
      <c r="A28" t="s">
        <v>583</v>
      </c>
    </row>
    <row r="29" ht="12.75">
      <c r="A29" t="s">
        <v>374</v>
      </c>
    </row>
    <row r="30" ht="12.75">
      <c r="A30" t="s">
        <v>375</v>
      </c>
    </row>
    <row r="31" ht="12.75">
      <c r="A31" t="s">
        <v>376</v>
      </c>
    </row>
    <row r="32" ht="12.75">
      <c r="A32" t="s">
        <v>377</v>
      </c>
    </row>
    <row r="33" ht="12.75">
      <c r="A33" t="s">
        <v>398</v>
      </c>
    </row>
    <row r="36" ht="12.75">
      <c r="A36" t="s">
        <v>371</v>
      </c>
    </row>
    <row r="37" ht="12.75">
      <c r="A37" t="s">
        <v>383</v>
      </c>
    </row>
    <row r="38" spans="1:2" ht="12.75">
      <c r="A38" t="s">
        <v>385</v>
      </c>
      <c r="B38" s="67">
        <v>200000</v>
      </c>
    </row>
    <row r="39" spans="1:2" ht="12.75">
      <c r="A39" t="s">
        <v>384</v>
      </c>
      <c r="B39" s="67">
        <v>600000</v>
      </c>
    </row>
    <row r="40" spans="1:2" ht="12.75">
      <c r="A40" t="s">
        <v>386</v>
      </c>
      <c r="B40" s="67">
        <v>40000</v>
      </c>
    </row>
    <row r="41" spans="1:2" ht="12.75">
      <c r="A41" t="s">
        <v>387</v>
      </c>
      <c r="B41" s="67">
        <v>80000</v>
      </c>
    </row>
    <row r="42" spans="1:2" ht="12.75">
      <c r="A42" t="s">
        <v>388</v>
      </c>
      <c r="B42" s="67">
        <v>485000</v>
      </c>
    </row>
    <row r="43" spans="1:2" ht="12.75">
      <c r="A43" t="s">
        <v>392</v>
      </c>
      <c r="B43" s="67">
        <v>20000</v>
      </c>
    </row>
    <row r="44" spans="1:2" ht="12.75">
      <c r="A44" t="s">
        <v>389</v>
      </c>
      <c r="B44" s="67"/>
    </row>
    <row r="45" spans="1:2" ht="12.75">
      <c r="A45" t="s">
        <v>390</v>
      </c>
      <c r="B45" s="67">
        <v>6000</v>
      </c>
    </row>
    <row r="46" spans="1:2" ht="12.75">
      <c r="A46" t="s">
        <v>391</v>
      </c>
      <c r="B46" s="67">
        <v>6500</v>
      </c>
    </row>
    <row r="47" spans="1:2" ht="12.75">
      <c r="A47" t="s">
        <v>393</v>
      </c>
      <c r="B47" s="67">
        <v>3000</v>
      </c>
    </row>
    <row r="48" spans="1:2" ht="12.75">
      <c r="A48" t="s">
        <v>394</v>
      </c>
      <c r="B48" s="67">
        <v>5000</v>
      </c>
    </row>
    <row r="49" spans="1:2" ht="12.75">
      <c r="A49" t="s">
        <v>396</v>
      </c>
      <c r="B49" s="67">
        <v>4000</v>
      </c>
    </row>
    <row r="50" spans="1:2" ht="12.75">
      <c r="A50" t="s">
        <v>397</v>
      </c>
      <c r="B50" s="67">
        <v>3000</v>
      </c>
    </row>
    <row r="51" spans="1:2" ht="12.75">
      <c r="A51" t="s">
        <v>395</v>
      </c>
      <c r="B51" s="67">
        <v>10000</v>
      </c>
    </row>
    <row r="52" spans="1:2" ht="12.75">
      <c r="A52" t="s">
        <v>158</v>
      </c>
      <c r="B52" s="67">
        <f>SUM(B38:B51)</f>
        <v>1462500</v>
      </c>
    </row>
  </sheetData>
  <printOptions/>
  <pageMargins left="0.22" right="0.17" top="0.91" bottom="0.78" header="0.5" footer="0.5"/>
  <pageSetup fitToHeight="1" fitToWidth="1"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pageSetUpPr fitToPage="1"/>
  </sheetPr>
  <dimension ref="A1:P52"/>
  <sheetViews>
    <sheetView workbookViewId="0" topLeftCell="A1">
      <selection activeCell="A29" sqref="A29"/>
    </sheetView>
  </sheetViews>
  <sheetFormatPr defaultColWidth="9.140625" defaultRowHeight="12.75"/>
  <cols>
    <col min="1" max="1" width="37.140625" style="0" customWidth="1"/>
    <col min="2" max="2" width="11.7109375" style="0" customWidth="1"/>
    <col min="3" max="3" width="6.57421875" style="0" customWidth="1"/>
    <col min="4" max="4" width="12.421875" style="0" customWidth="1"/>
    <col min="5" max="5" width="6.57421875" style="0" customWidth="1"/>
    <col min="6" max="6" width="12.421875" style="0" customWidth="1"/>
    <col min="7" max="7" width="6.57421875" style="0" customWidth="1"/>
    <col min="8" max="8" width="12.421875" style="0" customWidth="1"/>
    <col min="9" max="9" width="6.57421875" style="0" customWidth="1"/>
    <col min="10" max="10" width="12.421875" style="0" customWidth="1"/>
    <col min="11" max="11" width="6.57421875" style="0" customWidth="1"/>
    <col min="12" max="12" width="12.421875" style="0" customWidth="1"/>
    <col min="13" max="13" width="6.57421875" style="0" customWidth="1"/>
    <col min="14" max="14" width="12.421875" style="0" customWidth="1"/>
    <col min="15" max="15" width="3.8515625" style="0" customWidth="1"/>
    <col min="16" max="16" width="7.8515625" style="0" customWidth="1"/>
    <col min="17" max="17" width="12.00390625" style="0" customWidth="1"/>
  </cols>
  <sheetData>
    <row r="1" spans="2:4" ht="12.75">
      <c r="B1" t="s">
        <v>378</v>
      </c>
      <c r="C1">
        <v>1824</v>
      </c>
      <c r="D1" t="s">
        <v>372</v>
      </c>
    </row>
    <row r="2" spans="2:4" ht="12.75">
      <c r="B2" t="s">
        <v>380</v>
      </c>
      <c r="C2" s="120">
        <v>0.035</v>
      </c>
      <c r="D2" t="s">
        <v>381</v>
      </c>
    </row>
    <row r="3" spans="2:14" ht="12.75">
      <c r="B3" s="83"/>
      <c r="C3">
        <v>2</v>
      </c>
      <c r="D3" s="83"/>
      <c r="E3">
        <v>3</v>
      </c>
      <c r="F3" s="83"/>
      <c r="G3">
        <v>4</v>
      </c>
      <c r="H3" s="83"/>
      <c r="I3">
        <v>5</v>
      </c>
      <c r="J3" s="83"/>
      <c r="K3">
        <v>6</v>
      </c>
      <c r="L3" s="83"/>
      <c r="N3" s="83"/>
    </row>
    <row r="4" spans="2:14" ht="12.75">
      <c r="B4" s="83"/>
      <c r="C4" t="s">
        <v>360</v>
      </c>
      <c r="D4" s="83"/>
      <c r="E4" t="s">
        <v>364</v>
      </c>
      <c r="F4" s="83"/>
      <c r="G4" t="s">
        <v>365</v>
      </c>
      <c r="H4" s="83"/>
      <c r="I4" t="s">
        <v>366</v>
      </c>
      <c r="J4" s="83"/>
      <c r="K4" t="s">
        <v>367</v>
      </c>
      <c r="L4" s="83"/>
      <c r="N4" s="83"/>
    </row>
    <row r="5" spans="1:14" ht="12.75">
      <c r="A5" s="65" t="s">
        <v>361</v>
      </c>
      <c r="B5" s="83"/>
      <c r="C5" s="101" t="s">
        <v>362</v>
      </c>
      <c r="D5" s="86"/>
      <c r="E5" s="102" t="s">
        <v>363</v>
      </c>
      <c r="F5" s="88"/>
      <c r="G5" s="103" t="s">
        <v>368</v>
      </c>
      <c r="H5" s="90"/>
      <c r="I5" s="103"/>
      <c r="J5" s="90"/>
      <c r="K5" s="103"/>
      <c r="L5" s="90"/>
      <c r="N5" s="83"/>
    </row>
    <row r="6" spans="2:14" ht="12.75">
      <c r="B6" s="83"/>
      <c r="D6" s="83"/>
      <c r="F6" s="83"/>
      <c r="H6" s="83"/>
      <c r="J6" s="83"/>
      <c r="L6" s="83"/>
      <c r="M6" s="65" t="s">
        <v>382</v>
      </c>
      <c r="N6" s="83"/>
    </row>
    <row r="7" spans="1:16" ht="12.75">
      <c r="A7" s="69" t="s">
        <v>351</v>
      </c>
      <c r="B7" s="95" t="s">
        <v>350</v>
      </c>
      <c r="C7" s="68" t="s">
        <v>352</v>
      </c>
      <c r="D7" s="91" t="s">
        <v>353</v>
      </c>
      <c r="E7" s="68" t="s">
        <v>352</v>
      </c>
      <c r="F7" s="91" t="s">
        <v>353</v>
      </c>
      <c r="G7" s="68" t="s">
        <v>352</v>
      </c>
      <c r="H7" s="91" t="s">
        <v>353</v>
      </c>
      <c r="I7" s="68" t="s">
        <v>352</v>
      </c>
      <c r="J7" s="91" t="s">
        <v>353</v>
      </c>
      <c r="K7" s="68" t="s">
        <v>352</v>
      </c>
      <c r="L7" s="91" t="s">
        <v>353</v>
      </c>
      <c r="M7" s="68" t="s">
        <v>352</v>
      </c>
      <c r="N7" s="91" t="s">
        <v>353</v>
      </c>
      <c r="P7" t="s">
        <v>379</v>
      </c>
    </row>
    <row r="8" spans="1:14" ht="12.75">
      <c r="A8" t="s">
        <v>162</v>
      </c>
      <c r="B8" s="96"/>
      <c r="D8" s="92"/>
      <c r="F8" s="92"/>
      <c r="H8" s="92"/>
      <c r="J8" s="92"/>
      <c r="L8" s="92"/>
      <c r="N8" s="92"/>
    </row>
    <row r="9" spans="1:16" ht="12.75">
      <c r="A9" t="s">
        <v>343</v>
      </c>
      <c r="B9" s="97" t="s">
        <v>355</v>
      </c>
      <c r="C9">
        <f>$C$1*0.5</f>
        <v>912</v>
      </c>
      <c r="D9" s="92">
        <f>C9*$P9*(1+$C$2)^C$3</f>
        <v>58617.43199999999</v>
      </c>
      <c r="E9">
        <f>$C$1*0.5</f>
        <v>912</v>
      </c>
      <c r="F9" s="92">
        <f>E9*$P9*(1+$C$2)^E$3</f>
        <v>60669.042119999984</v>
      </c>
      <c r="G9">
        <f>$C$1*0.5</f>
        <v>912</v>
      </c>
      <c r="H9" s="92">
        <f>G9*$P9*(1+$C$2)^G$3</f>
        <v>62792.45859419998</v>
      </c>
      <c r="J9" s="92">
        <f>I9*$P9*(1+$C$2)^I$3</f>
        <v>0</v>
      </c>
      <c r="L9" s="92">
        <f>K9*$P9*(1+$C$2)^K$3</f>
        <v>0</v>
      </c>
      <c r="M9">
        <f>C9+E9+G9+I9+K9</f>
        <v>2736</v>
      </c>
      <c r="N9" s="92">
        <f>D9+F9+H9+J9+L9</f>
        <v>182078.93271419994</v>
      </c>
      <c r="P9" s="67">
        <v>60</v>
      </c>
    </row>
    <row r="10" spans="1:16" ht="12.75">
      <c r="A10" t="s">
        <v>342</v>
      </c>
      <c r="B10" s="97" t="s">
        <v>355</v>
      </c>
      <c r="C10">
        <f>$C$1*1.5</f>
        <v>2736</v>
      </c>
      <c r="D10" s="92">
        <f>C10*$P10*(1+$C$2)^C$3</f>
        <v>175852.29599999997</v>
      </c>
      <c r="E10">
        <f>$C$1*1.5</f>
        <v>2736</v>
      </c>
      <c r="F10" s="92">
        <f>E10*$P10*(1+$C$2)^E$3</f>
        <v>182007.12635999997</v>
      </c>
      <c r="G10">
        <f>$C$1*0.5</f>
        <v>912</v>
      </c>
      <c r="H10" s="92">
        <f>G10*$P10*(1+$C$2)^G$3</f>
        <v>62792.45859419998</v>
      </c>
      <c r="I10">
        <f>$C$1*0.5</f>
        <v>912</v>
      </c>
      <c r="J10" s="92">
        <f>I10*$P10*(1+$C$2)^I$3</f>
        <v>64990.19464499697</v>
      </c>
      <c r="K10">
        <f>$C$1*0.5*0.25</f>
        <v>228</v>
      </c>
      <c r="L10" s="92">
        <f>K10*$P10*(1+$C$2)^K$3</f>
        <v>16816.21286439297</v>
      </c>
      <c r="M10">
        <f aca="true" t="shared" si="0" ref="M10:N13">C10+E10+G10+I10+K10</f>
        <v>7524</v>
      </c>
      <c r="N10" s="92">
        <f t="shared" si="0"/>
        <v>502458.28846358985</v>
      </c>
      <c r="P10" s="67">
        <v>60</v>
      </c>
    </row>
    <row r="11" spans="1:16" ht="12.75">
      <c r="A11" t="s">
        <v>344</v>
      </c>
      <c r="B11" s="97" t="s">
        <v>355</v>
      </c>
      <c r="C11">
        <f>$C$1*0.2</f>
        <v>364.8</v>
      </c>
      <c r="D11" s="92">
        <f>C11*$P11*(1+$C$2)^C$3</f>
        <v>23446.972799999996</v>
      </c>
      <c r="E11">
        <f>$C$1*0.2</f>
        <v>364.8</v>
      </c>
      <c r="F11" s="92">
        <f>E11*$P11*(1+$C$2)^E$3</f>
        <v>24267.616847999994</v>
      </c>
      <c r="G11">
        <f>$C$1*0.5</f>
        <v>912</v>
      </c>
      <c r="H11" s="92">
        <f>G11*$P11*(1+$C$2)^G$3</f>
        <v>62792.45859419998</v>
      </c>
      <c r="I11">
        <f>$C$1*0.5</f>
        <v>912</v>
      </c>
      <c r="J11" s="92">
        <f>I11*$P11*(1+$C$2)^I$3</f>
        <v>64990.19464499697</v>
      </c>
      <c r="K11">
        <f>$C$1*0.5*0.25</f>
        <v>228</v>
      </c>
      <c r="L11" s="92">
        <f>K11*$P11*(1+$C$2)^K$3</f>
        <v>16816.21286439297</v>
      </c>
      <c r="M11">
        <f t="shared" si="0"/>
        <v>2781.6</v>
      </c>
      <c r="N11" s="92">
        <f t="shared" si="0"/>
        <v>192313.4557515899</v>
      </c>
      <c r="P11" s="67">
        <v>60</v>
      </c>
    </row>
    <row r="12" spans="1:16" ht="12.75">
      <c r="A12" t="s">
        <v>345</v>
      </c>
      <c r="B12" s="97" t="s">
        <v>355</v>
      </c>
      <c r="C12">
        <f>$C$1*0.2</f>
        <v>364.8</v>
      </c>
      <c r="D12" s="92">
        <f>C12*$P12*(1+$C$2)^C$3</f>
        <v>23446.972799999996</v>
      </c>
      <c r="E12">
        <f>$C$1*0.2</f>
        <v>364.8</v>
      </c>
      <c r="F12" s="92">
        <f>E12*$P12*(1+$C$2)^E$3</f>
        <v>24267.616847999994</v>
      </c>
      <c r="G12">
        <f>$C$1*0.5</f>
        <v>912</v>
      </c>
      <c r="H12" s="92">
        <f>G12*$P12*(1+$C$2)^G$3</f>
        <v>62792.45859419998</v>
      </c>
      <c r="I12">
        <f>$C$1*0.5</f>
        <v>912</v>
      </c>
      <c r="J12" s="92">
        <f>I12*$P12*(1+$C$2)^I$3</f>
        <v>64990.19464499697</v>
      </c>
      <c r="K12">
        <f>$C$1*0.5*0.25</f>
        <v>228</v>
      </c>
      <c r="L12" s="92">
        <f>K12*$P12*(1+$C$2)^K$3</f>
        <v>16816.21286439297</v>
      </c>
      <c r="M12">
        <f t="shared" si="0"/>
        <v>2781.6</v>
      </c>
      <c r="N12" s="92">
        <f t="shared" si="0"/>
        <v>192313.4557515899</v>
      </c>
      <c r="P12" s="67">
        <v>60</v>
      </c>
    </row>
    <row r="13" spans="1:16" ht="12.75">
      <c r="A13" t="s">
        <v>373</v>
      </c>
      <c r="B13" s="97">
        <v>3</v>
      </c>
      <c r="C13">
        <f>$C$1*0.2</f>
        <v>364.8</v>
      </c>
      <c r="D13" s="92">
        <f>C13*$P13*(1+$C$2)^C$3</f>
        <v>22274.62416</v>
      </c>
      <c r="E13">
        <f>$C$1*0.2</f>
        <v>364.8</v>
      </c>
      <c r="F13" s="92">
        <f>E13*$P13*(1+$C$2)^E$3</f>
        <v>23054.236005599996</v>
      </c>
      <c r="G13">
        <f>$C$1*0.2</f>
        <v>364.8</v>
      </c>
      <c r="H13" s="92">
        <f>G13*$P13*(1+$C$2)^G$3</f>
        <v>23861.134265795998</v>
      </c>
      <c r="I13">
        <f>$C$1*0.2</f>
        <v>364.8</v>
      </c>
      <c r="J13" s="92">
        <f>I13*$P13*(1+$C$2)^I$3</f>
        <v>24696.27396509885</v>
      </c>
      <c r="K13">
        <f>$C$1*0.2*0.25</f>
        <v>91.2</v>
      </c>
      <c r="L13" s="92">
        <f>K13*$P13*(1+$C$2)^K$3</f>
        <v>6390.160888469329</v>
      </c>
      <c r="M13">
        <f t="shared" si="0"/>
        <v>1550.4</v>
      </c>
      <c r="N13" s="92">
        <f t="shared" si="0"/>
        <v>100276.42928496416</v>
      </c>
      <c r="P13" s="67">
        <v>57</v>
      </c>
    </row>
    <row r="14" spans="1:16" ht="12.75">
      <c r="A14" t="s">
        <v>346</v>
      </c>
      <c r="B14" s="97"/>
      <c r="D14" s="92"/>
      <c r="F14" s="92"/>
      <c r="H14" s="92"/>
      <c r="J14" s="92"/>
      <c r="L14" s="92"/>
      <c r="N14" s="92"/>
      <c r="P14" s="67"/>
    </row>
    <row r="15" spans="1:16" ht="12.75">
      <c r="A15" t="s">
        <v>161</v>
      </c>
      <c r="B15" s="97">
        <v>4</v>
      </c>
      <c r="C15">
        <f>$C$1*0.25</f>
        <v>456</v>
      </c>
      <c r="D15" s="92">
        <f>C15*$P15*(1+$C$2)^C$3</f>
        <v>31751.108999999997</v>
      </c>
      <c r="E15">
        <f>$C$1*0.25</f>
        <v>456</v>
      </c>
      <c r="F15" s="92">
        <f>E15*$P15*(1+$C$2)^E$3</f>
        <v>32862.39781499999</v>
      </c>
      <c r="G15">
        <f>$C$1*0.25</f>
        <v>456</v>
      </c>
      <c r="H15" s="92">
        <f>G15*$P15*(1+$C$2)^G$3</f>
        <v>34012.58173852499</v>
      </c>
      <c r="I15">
        <f>$C$1*0.25</f>
        <v>456</v>
      </c>
      <c r="J15" s="92">
        <f>I15*$P15*(1+$C$2)^I$3</f>
        <v>35203.02209937336</v>
      </c>
      <c r="K15">
        <f>$C$1*0.25*0.25</f>
        <v>114</v>
      </c>
      <c r="L15" s="92">
        <f>K15*$P15*(1+$C$2)^K$3</f>
        <v>9108.781968212857</v>
      </c>
      <c r="M15">
        <f>C15+E15+G15+I15+K15</f>
        <v>1938</v>
      </c>
      <c r="N15" s="92">
        <f>D15+F15+H15+J15+L15</f>
        <v>142937.8926211112</v>
      </c>
      <c r="P15" s="67">
        <v>65</v>
      </c>
    </row>
    <row r="16" spans="1:16" ht="12.75">
      <c r="A16" s="68" t="s">
        <v>357</v>
      </c>
      <c r="B16" s="98">
        <v>5</v>
      </c>
      <c r="C16" s="68"/>
      <c r="D16" s="93">
        <f>C16*$P16*(1+$C$2)^C$3</f>
        <v>0</v>
      </c>
      <c r="E16" s="68"/>
      <c r="F16" s="93">
        <f>E16*$P16*(1+$C$2)^E$3</f>
        <v>0</v>
      </c>
      <c r="G16" s="68">
        <f>$C$1*1.5</f>
        <v>2736</v>
      </c>
      <c r="H16" s="93">
        <f>G16*$P16*(1+$C$2)^G$3</f>
        <v>109886.80253984997</v>
      </c>
      <c r="I16" s="68">
        <f>$C$1*1.5</f>
        <v>2736</v>
      </c>
      <c r="J16" s="93">
        <f>I16*$P16*(1+$C$2)^I$3</f>
        <v>113732.8406287447</v>
      </c>
      <c r="K16" s="68">
        <f>$C$1*2*0.25</f>
        <v>912</v>
      </c>
      <c r="L16" s="93">
        <f>K16*$P16*(1+$C$2)^K$3</f>
        <v>39237.83001691692</v>
      </c>
      <c r="M16" s="68">
        <f>C16+E16+G16+I16+K16</f>
        <v>6384</v>
      </c>
      <c r="N16" s="93">
        <f>D16+F16+H16+J16+L16</f>
        <v>262857.4731855116</v>
      </c>
      <c r="P16" s="67">
        <v>35</v>
      </c>
    </row>
    <row r="17" spans="1:14" ht="12.75">
      <c r="A17" s="65" t="s">
        <v>369</v>
      </c>
      <c r="B17" s="97"/>
      <c r="D17" s="92">
        <f>SUM(D9:D16)</f>
        <v>335389.40676</v>
      </c>
      <c r="F17" s="92">
        <f>SUM(F9:F16)</f>
        <v>347128.0359965999</v>
      </c>
      <c r="H17" s="92">
        <f>SUM(H9:H16)</f>
        <v>418930.3529209709</v>
      </c>
      <c r="J17" s="92">
        <f>SUM(J9:J16)</f>
        <v>368602.72062820784</v>
      </c>
      <c r="L17" s="92">
        <f>SUM(L9:L16)</f>
        <v>105185.41146677801</v>
      </c>
      <c r="N17" s="92">
        <f>SUM(N9:N16)</f>
        <v>1575235.9277725567</v>
      </c>
    </row>
    <row r="18" spans="1:14" ht="12.75">
      <c r="A18" t="s">
        <v>358</v>
      </c>
      <c r="B18" s="97">
        <v>6</v>
      </c>
      <c r="D18" s="92">
        <f>D17*0.3</f>
        <v>100616.822028</v>
      </c>
      <c r="F18" s="92">
        <f>F17*0.3</f>
        <v>104138.41079897997</v>
      </c>
      <c r="H18" s="92">
        <f>H17*0.3</f>
        <v>125679.10587629126</v>
      </c>
      <c r="J18" s="92">
        <f>J17*0.3</f>
        <v>110580.81618846236</v>
      </c>
      <c r="L18" s="92">
        <f>L17*0.3</f>
        <v>31555.6234400334</v>
      </c>
      <c r="N18" s="92">
        <f>N17*0.3</f>
        <v>472570.77833176695</v>
      </c>
    </row>
    <row r="19" spans="1:14" ht="12.75">
      <c r="A19" s="71" t="s">
        <v>370</v>
      </c>
      <c r="B19" s="99"/>
      <c r="C19" s="72"/>
      <c r="D19" s="94">
        <f>D17+D18</f>
        <v>436006.22878799995</v>
      </c>
      <c r="E19" s="72"/>
      <c r="F19" s="94">
        <f>F17+F18</f>
        <v>451266.44679557986</v>
      </c>
      <c r="G19" s="72"/>
      <c r="H19" s="94">
        <f>H17+H18</f>
        <v>544609.4587972622</v>
      </c>
      <c r="I19" s="72"/>
      <c r="J19" s="94">
        <f>J17+J18</f>
        <v>479183.5368166702</v>
      </c>
      <c r="K19" s="72"/>
      <c r="L19" s="94">
        <f>L17+L18</f>
        <v>136741.0349068114</v>
      </c>
      <c r="M19" s="72"/>
      <c r="N19" s="94">
        <f>N17+N18</f>
        <v>2047806.7061043237</v>
      </c>
    </row>
    <row r="20" spans="1:14" ht="12.75">
      <c r="A20" t="s">
        <v>347</v>
      </c>
      <c r="B20" s="97"/>
      <c r="D20" s="92"/>
      <c r="F20" s="92"/>
      <c r="H20" s="92"/>
      <c r="J20" s="92"/>
      <c r="L20" s="92"/>
      <c r="N20" s="92"/>
    </row>
    <row r="21" spans="1:14" ht="12.75">
      <c r="A21" t="s">
        <v>348</v>
      </c>
      <c r="B21" s="97"/>
      <c r="D21" s="92"/>
      <c r="F21" s="92">
        <f>B38</f>
        <v>600000</v>
      </c>
      <c r="H21" s="92">
        <f>($B$52-$B$38)/2</f>
        <v>307250</v>
      </c>
      <c r="J21" s="92">
        <f>($B$52-$B$38)/2</f>
        <v>307250</v>
      </c>
      <c r="L21" s="92"/>
      <c r="N21" s="92">
        <f>D21+F21+H21+J21+L21</f>
        <v>1214500</v>
      </c>
    </row>
    <row r="22" spans="1:14" ht="12.75">
      <c r="A22" t="s">
        <v>349</v>
      </c>
      <c r="B22" s="97"/>
      <c r="D22" s="92">
        <v>10000</v>
      </c>
      <c r="F22" s="92">
        <f>$D22*(1+$C$2)^C$3</f>
        <v>10712.249999999998</v>
      </c>
      <c r="H22" s="92">
        <f>$D22*(1+$C$2)^E$3</f>
        <v>11087.178749999997</v>
      </c>
      <c r="J22" s="92">
        <f>$D22*(1+$C$2)^G$3</f>
        <v>11475.230006249996</v>
      </c>
      <c r="L22" s="92">
        <f>($D22*(1+$C$2)^I$3)*0.25</f>
        <v>2969.215764117186</v>
      </c>
      <c r="N22" s="92">
        <f>D22+F22+H22+J22+L22</f>
        <v>46243.87452036718</v>
      </c>
    </row>
    <row r="23" spans="1:14" ht="12.75">
      <c r="A23" t="s">
        <v>167</v>
      </c>
      <c r="B23" s="96"/>
      <c r="D23" s="92">
        <v>20000</v>
      </c>
      <c r="F23" s="92">
        <f>$D23*(1+$C$2)^C$3</f>
        <v>21424.499999999996</v>
      </c>
      <c r="H23" s="92">
        <f>$D23*(1+$C$2)^E$3</f>
        <v>22174.357499999995</v>
      </c>
      <c r="J23" s="92">
        <f>$D23*(1+$C$2)^G$3</f>
        <v>22950.460012499992</v>
      </c>
      <c r="L23" s="92">
        <f>($D23*(1+$C$2)^I$3)*0.5</f>
        <v>11876.863056468745</v>
      </c>
      <c r="N23" s="92">
        <f>D23+F23+H23+J23+L23</f>
        <v>98426.18056896873</v>
      </c>
    </row>
    <row r="24" spans="1:14" ht="12.75">
      <c r="A24" s="71" t="s">
        <v>359</v>
      </c>
      <c r="B24" s="100"/>
      <c r="C24" s="72"/>
      <c r="D24" s="94">
        <f>SUM(D21:D23)</f>
        <v>30000</v>
      </c>
      <c r="E24" s="72"/>
      <c r="F24" s="94">
        <f>SUM(F21:F23)</f>
        <v>632136.75</v>
      </c>
      <c r="G24" s="72"/>
      <c r="H24" s="94">
        <f>SUM(H21:H23)</f>
        <v>340511.53625</v>
      </c>
      <c r="I24" s="72"/>
      <c r="J24" s="94">
        <f>SUM(J21:J23)</f>
        <v>341675.69001874997</v>
      </c>
      <c r="K24" s="72"/>
      <c r="L24" s="94">
        <f>SUM(L21:L23)</f>
        <v>14846.078820585932</v>
      </c>
      <c r="M24" s="72"/>
      <c r="N24" s="94">
        <f>SUM(N21:N23)</f>
        <v>1359170.055089336</v>
      </c>
    </row>
    <row r="25" spans="1:14" ht="12.75">
      <c r="A25" s="65" t="s">
        <v>356</v>
      </c>
      <c r="B25" s="96"/>
      <c r="D25" s="92">
        <f>D19+D24</f>
        <v>466006.22878799995</v>
      </c>
      <c r="F25" s="92">
        <f>F19+F24</f>
        <v>1083403.19679558</v>
      </c>
      <c r="H25" s="92">
        <f>H19+H24</f>
        <v>885120.9950472622</v>
      </c>
      <c r="J25" s="92">
        <f>J19+J24</f>
        <v>820859.2268354201</v>
      </c>
      <c r="L25" s="92">
        <f>L19+L24</f>
        <v>151587.11372739734</v>
      </c>
      <c r="N25" s="92">
        <f>N19+N24</f>
        <v>3406976.7611936596</v>
      </c>
    </row>
    <row r="27" ht="12.75">
      <c r="A27" t="s">
        <v>354</v>
      </c>
    </row>
    <row r="28" ht="12.75">
      <c r="A28" t="s">
        <v>583</v>
      </c>
    </row>
    <row r="29" ht="12.75">
      <c r="A29" t="s">
        <v>374</v>
      </c>
    </row>
    <row r="30" ht="12.75">
      <c r="A30" t="s">
        <v>375</v>
      </c>
    </row>
    <row r="31" ht="12.75">
      <c r="A31" t="s">
        <v>376</v>
      </c>
    </row>
    <row r="32" ht="12.75">
      <c r="A32" t="s">
        <v>377</v>
      </c>
    </row>
    <row r="33" ht="12.75">
      <c r="A33" t="s">
        <v>398</v>
      </c>
    </row>
    <row r="36" ht="12.75">
      <c r="A36" t="s">
        <v>371</v>
      </c>
    </row>
    <row r="37" spans="1:2" ht="12.75">
      <c r="A37" t="s">
        <v>399</v>
      </c>
      <c r="B37" s="67">
        <v>100000</v>
      </c>
    </row>
    <row r="38" spans="1:2" ht="12.75">
      <c r="A38" t="s">
        <v>384</v>
      </c>
      <c r="B38" s="67">
        <v>600000</v>
      </c>
    </row>
    <row r="39" spans="1:2" ht="12.75">
      <c r="A39" t="s">
        <v>386</v>
      </c>
      <c r="B39" s="67">
        <v>25000</v>
      </c>
    </row>
    <row r="40" spans="1:2" ht="12.75">
      <c r="A40" t="s">
        <v>387</v>
      </c>
      <c r="B40" s="67">
        <v>60000</v>
      </c>
    </row>
    <row r="41" spans="1:2" ht="12.75">
      <c r="A41" t="s">
        <v>400</v>
      </c>
      <c r="B41" s="67">
        <v>300000</v>
      </c>
    </row>
    <row r="42" spans="1:2" ht="12.75">
      <c r="A42" t="s">
        <v>401</v>
      </c>
      <c r="B42" s="67">
        <v>80000</v>
      </c>
    </row>
    <row r="43" spans="1:2" ht="12.75">
      <c r="A43" t="s">
        <v>402</v>
      </c>
      <c r="B43" s="67">
        <v>12000</v>
      </c>
    </row>
    <row r="44" spans="1:2" ht="12.75">
      <c r="A44" t="s">
        <v>389</v>
      </c>
      <c r="B44" s="67"/>
    </row>
    <row r="45" spans="1:2" ht="12.75">
      <c r="A45" t="s">
        <v>390</v>
      </c>
      <c r="B45" s="67">
        <v>6000</v>
      </c>
    </row>
    <row r="46" spans="1:2" ht="12.75">
      <c r="A46" t="s">
        <v>391</v>
      </c>
      <c r="B46" s="67">
        <v>6500</v>
      </c>
    </row>
    <row r="47" spans="1:2" ht="12.75">
      <c r="A47" t="s">
        <v>393</v>
      </c>
      <c r="B47" s="67">
        <v>3000</v>
      </c>
    </row>
    <row r="48" spans="1:2" ht="12.75">
      <c r="A48" t="s">
        <v>394</v>
      </c>
      <c r="B48" s="67">
        <v>5000</v>
      </c>
    </row>
    <row r="49" spans="1:2" ht="12.75">
      <c r="A49" t="s">
        <v>396</v>
      </c>
      <c r="B49" s="67">
        <v>4000</v>
      </c>
    </row>
    <row r="50" spans="1:2" ht="12.75">
      <c r="A50" t="s">
        <v>397</v>
      </c>
      <c r="B50" s="67">
        <v>3000</v>
      </c>
    </row>
    <row r="51" spans="1:2" ht="12.75">
      <c r="A51" t="s">
        <v>395</v>
      </c>
      <c r="B51" s="67">
        <v>10000</v>
      </c>
    </row>
    <row r="52" spans="1:2" ht="12.75">
      <c r="A52" t="s">
        <v>158</v>
      </c>
      <c r="B52" s="67">
        <f>SUM(B37:B51)</f>
        <v>1214500</v>
      </c>
    </row>
  </sheetData>
  <printOptions/>
  <pageMargins left="0.17" right="0.17" top="1" bottom="0.58" header="0.5" footer="0.37"/>
  <pageSetup fitToHeight="1" fitToWidth="1" horizontalDpi="600" verticalDpi="600" orientation="landscape" scale="74" r:id="rId1"/>
</worksheet>
</file>

<file path=xl/worksheets/sheet9.xml><?xml version="1.0" encoding="utf-8"?>
<worksheet xmlns="http://schemas.openxmlformats.org/spreadsheetml/2006/main" xmlns:r="http://schemas.openxmlformats.org/officeDocument/2006/relationships">
  <dimension ref="A1:E27"/>
  <sheetViews>
    <sheetView workbookViewId="0" topLeftCell="A1">
      <selection activeCell="B5" sqref="B5"/>
    </sheetView>
  </sheetViews>
  <sheetFormatPr defaultColWidth="9.140625" defaultRowHeight="12.75"/>
  <cols>
    <col min="1" max="1" width="4.140625" style="1" customWidth="1"/>
    <col min="2" max="3" width="24.7109375" style="0" customWidth="1"/>
    <col min="4" max="4" width="57.28125" style="0" customWidth="1"/>
    <col min="5" max="5" width="18.7109375" style="0" customWidth="1"/>
  </cols>
  <sheetData>
    <row r="1" spans="1:5" s="65" customFormat="1" ht="12.75">
      <c r="A1" s="64" t="s">
        <v>114</v>
      </c>
      <c r="B1" s="64" t="s">
        <v>112</v>
      </c>
      <c r="C1" s="64" t="s">
        <v>116</v>
      </c>
      <c r="D1" s="64" t="s">
        <v>124</v>
      </c>
      <c r="E1" s="64" t="s">
        <v>113</v>
      </c>
    </row>
    <row r="2" spans="1:5" ht="25.5">
      <c r="A2" s="1">
        <v>1</v>
      </c>
      <c r="B2" s="2" t="s">
        <v>329</v>
      </c>
      <c r="C2" s="2"/>
      <c r="D2" s="2" t="s">
        <v>339</v>
      </c>
      <c r="E2" s="2"/>
    </row>
    <row r="3" spans="1:5" ht="25.5">
      <c r="A3" s="1">
        <f>A2+1</f>
        <v>2</v>
      </c>
      <c r="B3" s="2" t="s">
        <v>330</v>
      </c>
      <c r="C3" s="2"/>
      <c r="D3" s="2" t="s">
        <v>340</v>
      </c>
      <c r="E3" s="2"/>
    </row>
    <row r="4" spans="1:5" ht="25.5">
      <c r="A4" s="1">
        <f aca="true" t="shared" si="0" ref="A4:A19">A3+1</f>
        <v>3</v>
      </c>
      <c r="B4" s="2" t="s">
        <v>332</v>
      </c>
      <c r="C4" s="2"/>
      <c r="D4" s="2" t="s">
        <v>341</v>
      </c>
      <c r="E4" s="2"/>
    </row>
    <row r="5" spans="1:5" ht="38.25">
      <c r="A5" s="1">
        <f t="shared" si="0"/>
        <v>4</v>
      </c>
      <c r="B5" s="2" t="s">
        <v>333</v>
      </c>
      <c r="C5" s="2"/>
      <c r="D5" s="2"/>
      <c r="E5" s="2"/>
    </row>
    <row r="6" spans="1:5" ht="12.75">
      <c r="A6" s="1">
        <f t="shared" si="0"/>
        <v>5</v>
      </c>
      <c r="B6" s="2"/>
      <c r="C6" s="2"/>
      <c r="D6" s="2"/>
      <c r="E6" s="2"/>
    </row>
    <row r="7" spans="1:5" ht="12.75">
      <c r="A7" s="1">
        <f t="shared" si="0"/>
        <v>6</v>
      </c>
      <c r="B7" s="2"/>
      <c r="C7" s="2"/>
      <c r="D7" s="2"/>
      <c r="E7" s="2"/>
    </row>
    <row r="8" spans="1:5" ht="12.75">
      <c r="A8" s="1">
        <f t="shared" si="0"/>
        <v>7</v>
      </c>
      <c r="B8" s="2"/>
      <c r="C8" s="2"/>
      <c r="D8" s="2"/>
      <c r="E8" s="2"/>
    </row>
    <row r="9" spans="1:5" ht="12.75">
      <c r="A9" s="1">
        <f t="shared" si="0"/>
        <v>8</v>
      </c>
      <c r="B9" s="2"/>
      <c r="C9" s="2"/>
      <c r="D9" s="2"/>
      <c r="E9" s="2"/>
    </row>
    <row r="10" spans="1:5" ht="12.75">
      <c r="A10" s="1">
        <f t="shared" si="0"/>
        <v>9</v>
      </c>
      <c r="B10" s="2"/>
      <c r="C10" s="2"/>
      <c r="D10" s="2"/>
      <c r="E10" s="2"/>
    </row>
    <row r="11" spans="1:5" ht="12.75">
      <c r="A11" s="1">
        <f t="shared" si="0"/>
        <v>10</v>
      </c>
      <c r="B11" s="2"/>
      <c r="C11" s="2"/>
      <c r="D11" s="2"/>
      <c r="E11" s="2"/>
    </row>
    <row r="12" spans="1:5" ht="12.75">
      <c r="A12" s="1">
        <f t="shared" si="0"/>
        <v>11</v>
      </c>
      <c r="B12" s="2"/>
      <c r="C12" s="2"/>
      <c r="D12" s="2"/>
      <c r="E12" s="2"/>
    </row>
    <row r="13" spans="1:5" ht="12.75">
      <c r="A13" s="1">
        <f t="shared" si="0"/>
        <v>12</v>
      </c>
      <c r="B13" s="2"/>
      <c r="C13" s="2"/>
      <c r="D13" s="2"/>
      <c r="E13" s="2"/>
    </row>
    <row r="14" spans="1:5" ht="12.75">
      <c r="A14" s="1">
        <f t="shared" si="0"/>
        <v>13</v>
      </c>
      <c r="B14" s="2"/>
      <c r="C14" s="2"/>
      <c r="D14" s="2"/>
      <c r="E14" s="2"/>
    </row>
    <row r="15" spans="1:5" ht="12.75">
      <c r="A15" s="1">
        <f t="shared" si="0"/>
        <v>14</v>
      </c>
      <c r="B15" s="2"/>
      <c r="C15" s="2"/>
      <c r="D15" s="2"/>
      <c r="E15" s="2"/>
    </row>
    <row r="16" spans="1:5" ht="12.75">
      <c r="A16" s="1">
        <f t="shared" si="0"/>
        <v>15</v>
      </c>
      <c r="B16" s="2"/>
      <c r="C16" s="2"/>
      <c r="D16" s="2"/>
      <c r="E16" s="2"/>
    </row>
    <row r="17" spans="1:5" ht="12.75">
      <c r="A17" s="1">
        <f t="shared" si="0"/>
        <v>16</v>
      </c>
      <c r="B17" s="2"/>
      <c r="C17" s="2"/>
      <c r="D17" s="2"/>
      <c r="E17" s="2"/>
    </row>
    <row r="18" spans="1:5" ht="12.75">
      <c r="A18" s="1">
        <f t="shared" si="0"/>
        <v>17</v>
      </c>
      <c r="B18" s="2"/>
      <c r="C18" s="2"/>
      <c r="D18" s="2"/>
      <c r="E18" s="2"/>
    </row>
    <row r="19" spans="1:5" ht="12.75">
      <c r="A19" s="1">
        <f t="shared" si="0"/>
        <v>18</v>
      </c>
      <c r="B19" s="2"/>
      <c r="C19" s="2"/>
      <c r="D19" s="2"/>
      <c r="E19" s="2"/>
    </row>
    <row r="20" spans="2:5" ht="12.75">
      <c r="B20" s="2"/>
      <c r="C20" s="2"/>
      <c r="D20" s="2"/>
      <c r="E20" s="2"/>
    </row>
    <row r="21" spans="2:5" ht="12.75">
      <c r="B21" s="2"/>
      <c r="C21" s="2"/>
      <c r="D21" s="2"/>
      <c r="E21" s="2"/>
    </row>
    <row r="22" spans="2:5" ht="12.75">
      <c r="B22" s="2"/>
      <c r="C22" s="2"/>
      <c r="D22" s="2"/>
      <c r="E22" s="2"/>
    </row>
    <row r="23" spans="2:5" ht="12.75">
      <c r="B23" s="2"/>
      <c r="C23" s="2"/>
      <c r="D23" s="2"/>
      <c r="E23" s="2"/>
    </row>
    <row r="24" spans="2:5" ht="12.75">
      <c r="B24" s="2"/>
      <c r="C24" s="2"/>
      <c r="D24" s="2"/>
      <c r="E24" s="2"/>
    </row>
    <row r="25" spans="2:5" ht="12.75">
      <c r="B25" s="2"/>
      <c r="C25" s="2"/>
      <c r="D25" s="2"/>
      <c r="E25" s="2"/>
    </row>
    <row r="26" spans="2:5" ht="12.75">
      <c r="B26" s="2"/>
      <c r="C26" s="2"/>
      <c r="D26" s="2"/>
      <c r="E26" s="2"/>
    </row>
    <row r="27" spans="2:5" ht="12.75">
      <c r="B27" s="2"/>
      <c r="C27" s="2"/>
      <c r="D27" s="2"/>
      <c r="E27" s="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peterw</dc:creator>
  <cp:keywords/>
  <dc:description/>
  <cp:lastModifiedBy>peterw</cp:lastModifiedBy>
  <cp:lastPrinted>2009-01-30T02:00:17Z</cp:lastPrinted>
  <dcterms:created xsi:type="dcterms:W3CDTF">2008-12-03T02:12:39Z</dcterms:created>
  <dcterms:modified xsi:type="dcterms:W3CDTF">2009-02-05T03:25:29Z</dcterms:modified>
  <cp:category/>
  <cp:version/>
  <cp:contentType/>
  <cp:contentStatus/>
</cp:coreProperties>
</file>