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2810" windowHeight="7740" tabRatio="893" activeTab="0"/>
  </bookViews>
  <sheets>
    <sheet name="1100-ZTF0900" sheetId="1" r:id="rId1"/>
    <sheet name="String1" sheetId="2" r:id="rId2"/>
  </sheets>
  <definedNames>
    <definedName name="_xlnm.Print_Area" localSheetId="0">'1100-ZTF0900'!$A$1:$J$41</definedName>
    <definedName name="_xlnm.Print_Area" localSheetId="1">'String1'!$A$1:$J$191</definedName>
  </definedNames>
  <calcPr fullCalcOnLoad="1"/>
</workbook>
</file>

<file path=xl/sharedStrings.xml><?xml version="1.0" encoding="utf-8"?>
<sst xmlns="http://schemas.openxmlformats.org/spreadsheetml/2006/main" count="597" uniqueCount="334">
  <si>
    <t>Tolerance Item</t>
  </si>
  <si>
    <t>TX
+/- mm</t>
  </si>
  <si>
    <t>TY
+/- mm</t>
  </si>
  <si>
    <t>TZ
+/- mm</t>
  </si>
  <si>
    <t>Type</t>
  </si>
  <si>
    <r>
      <t>R</t>
    </r>
    <r>
      <rPr>
        <b/>
        <sz val="11"/>
        <color indexed="8"/>
        <rFont val="Calibri"/>
        <family val="2"/>
      </rPr>
      <t>X
+/- mrad</t>
    </r>
  </si>
  <si>
    <r>
      <t>R</t>
    </r>
    <r>
      <rPr>
        <b/>
        <sz val="11"/>
        <color indexed="8"/>
        <rFont val="Calibri"/>
        <family val="2"/>
      </rPr>
      <t>Y
+/- mrad</t>
    </r>
  </si>
  <si>
    <r>
      <t>R</t>
    </r>
    <r>
      <rPr>
        <b/>
        <sz val="11"/>
        <color indexed="8"/>
        <rFont val="Calibri"/>
        <family val="2"/>
      </rPr>
      <t>Z
+/- mrad</t>
    </r>
  </si>
  <si>
    <t>Tol
mm</t>
  </si>
  <si>
    <t>hole tolerance and clearance</t>
  </si>
  <si>
    <t>flatness</t>
  </si>
  <si>
    <t>Total misalignment (summed)</t>
  </si>
  <si>
    <t>Ref Des</t>
  </si>
  <si>
    <t>profile relative to datum A</t>
  </si>
  <si>
    <t>perpendicular relative to datum A</t>
  </si>
  <si>
    <t>true position relative to datum A,B,C</t>
  </si>
  <si>
    <t>Total misalignment (RSS)</t>
  </si>
  <si>
    <t>perpendicularity to datum A</t>
  </si>
  <si>
    <t>Shaft</t>
  </si>
  <si>
    <t>Reflector</t>
  </si>
  <si>
    <t>H-REF_01</t>
  </si>
  <si>
    <t>H-REF_02</t>
  </si>
  <si>
    <t>H-REF_03</t>
  </si>
  <si>
    <t>H-REF_04</t>
  </si>
  <si>
    <t>H-REF_05</t>
  </si>
  <si>
    <t>H-REF_06</t>
  </si>
  <si>
    <t>H-REF_07</t>
  </si>
  <si>
    <t>location relative to datum A</t>
  </si>
  <si>
    <t>profile relative to datum A, B</t>
  </si>
  <si>
    <t>true position relative to datum A,B</t>
  </si>
  <si>
    <t>H-REF_08</t>
  </si>
  <si>
    <t>H-REF_09</t>
  </si>
  <si>
    <t>Inner Flexure Clamp</t>
  </si>
  <si>
    <t>H-REF_10</t>
  </si>
  <si>
    <t>H-REF_11</t>
  </si>
  <si>
    <t>H-REF_12</t>
  </si>
  <si>
    <t>Inner Flexure Clamp position, Shaft Top Cap interface</t>
  </si>
  <si>
    <t>Inner Flexure Clamp profile, Shaft Top Cap interface</t>
  </si>
  <si>
    <t>Shaft Top Cap</t>
  </si>
  <si>
    <t>H-REF_13</t>
  </si>
  <si>
    <t>Shaft Top Cap Datum A, Shaft interface</t>
  </si>
  <si>
    <t>H-REF_14</t>
  </si>
  <si>
    <t>Shaft Top Cap Datum B, alignment pin slip fit hole position, Shaft interface</t>
  </si>
  <si>
    <t>H-REF_15</t>
  </si>
  <si>
    <t>H-REF_16</t>
  </si>
  <si>
    <t>H-REF_17</t>
  </si>
  <si>
    <t>H-REF_18</t>
  </si>
  <si>
    <t>Inner Flexure Clamp Datum A</t>
  </si>
  <si>
    <t>delete</t>
  </si>
  <si>
    <t>Shaft Top Cap bushing slip fit hole position, Bushing interface</t>
  </si>
  <si>
    <t>Shaft Top Cap alignment pin slip fit hole/slolt translation, Shaft interface</t>
  </si>
  <si>
    <t>Shaft Top Cap alignment pin slip fit hole/slot rotation, Shaft interface</t>
  </si>
  <si>
    <t>H-REF_19</t>
  </si>
  <si>
    <t>H-REF_20</t>
  </si>
  <si>
    <t>Shaft Top Cap bushing slip fit hole/slot translation, Bushing interface</t>
  </si>
  <si>
    <t>Shaft Top Cap bushing slip fit hole/slot rotation, Bushing interface</t>
  </si>
  <si>
    <t>H-REF_21</t>
  </si>
  <si>
    <t>Shaft Top Cap bushing hole depth position, Bushing interface</t>
  </si>
  <si>
    <t>profile relative to datum A, B, C</t>
  </si>
  <si>
    <t>RSA Bushing</t>
  </si>
  <si>
    <t>H-REF_22</t>
  </si>
  <si>
    <t>H-REF_23</t>
  </si>
  <si>
    <t>Bushing length position, Shaft Top Cap interface</t>
  </si>
  <si>
    <t>Bushing length position, machine to fit, Shaft Top Cap interface</t>
  </si>
  <si>
    <t>Base Plate</t>
  </si>
  <si>
    <t>H-REF_24</t>
  </si>
  <si>
    <t>Base Plate Datum A, Lower Fitting interface</t>
  </si>
  <si>
    <t>H-REF_25</t>
  </si>
  <si>
    <t>Base Plate Datum B, bushing slip fit hole position, Bushing interface</t>
  </si>
  <si>
    <t>true position relative to datum A</t>
  </si>
  <si>
    <t>H-REF_26</t>
  </si>
  <si>
    <t>H-REF_27</t>
  </si>
  <si>
    <t>Base Plate bushing slip fit hole translation, Bushing interface</t>
  </si>
  <si>
    <t>H-REF_28</t>
  </si>
  <si>
    <t>RSA Lower End Fitting</t>
  </si>
  <si>
    <t>H-REF_29</t>
  </si>
  <si>
    <t>H-REF_30</t>
  </si>
  <si>
    <t>H-REF_31</t>
  </si>
  <si>
    <t>Base Plate bushing hole depth position, Bushing interface</t>
  </si>
  <si>
    <t>Base Plate End Fitting Bushing slip fit hole position, Fitting Bushing interface</t>
  </si>
  <si>
    <t>true position relative to datum A, B, C</t>
  </si>
  <si>
    <t>Base Plate bushing slip fit hole rotation, Bushing interface</t>
  </si>
  <si>
    <t>Base Plate End Fitting Bushing slip fit Translation, End Fitting Bushing interface</t>
  </si>
  <si>
    <t>H-REF_32</t>
  </si>
  <si>
    <t>Base Plate End Fitting surface, End Fitting mounting interface</t>
  </si>
  <si>
    <t>RSA Lower End Fitting Datum A, Base Plate interface</t>
  </si>
  <si>
    <t>H-REF_33</t>
  </si>
  <si>
    <t>H-REF_34</t>
  </si>
  <si>
    <t>H-REF_35</t>
  </si>
  <si>
    <t>RSA Lower End Fitting Datum B, Bushing slip fit hole position, End Fitting Bushing interface</t>
  </si>
  <si>
    <t>RSA Lower End Fitting Datum C, strut tube slip fit hole translation, Strut Tube interface</t>
  </si>
  <si>
    <t>RSA Lower End Fitting Datum C, strut tube slip fit hole rotation, Strut Tube interface</t>
  </si>
  <si>
    <t>H-REF_36</t>
  </si>
  <si>
    <t>H-REF_37</t>
  </si>
  <si>
    <t>H-REF_38</t>
  </si>
  <si>
    <t>H-REF_39</t>
  </si>
  <si>
    <t>RSA Lower End Fitting Datum C, strut tube slip fit hole position, Strut Tube interface</t>
  </si>
  <si>
    <t>profile  releative to datum A, B, C</t>
  </si>
  <si>
    <t>RSA Lower End Fitting Datum D, strut tube slip fit hole angle, Strut Tube interface</t>
  </si>
  <si>
    <t>RSA Lower End Fitting Datum D, strut tube slip fit hole position, Strut Tube interface</t>
  </si>
  <si>
    <t>RSA Strut Tube</t>
  </si>
  <si>
    <t>RSA Strut Tube Datum A, straitness, Upper Fitting interface</t>
  </si>
  <si>
    <t>straightness</t>
  </si>
  <si>
    <t>H-REF_40</t>
  </si>
  <si>
    <t>RSA Lower End Fitting hole depth, Strut Tube interface</t>
  </si>
  <si>
    <t>hole depth clearance</t>
  </si>
  <si>
    <t>H-REF_41</t>
  </si>
  <si>
    <t>H-REF_42</t>
  </si>
  <si>
    <t>H-REF_43</t>
  </si>
  <si>
    <t>H-REF_44</t>
  </si>
  <si>
    <t>H-REF_45</t>
  </si>
  <si>
    <t>H-REF_46</t>
  </si>
  <si>
    <t>H-REF_47</t>
  </si>
  <si>
    <t>H-REF_48</t>
  </si>
  <si>
    <t>RSA Upper End Fitting Datum A, Base Plate interface</t>
  </si>
  <si>
    <t>RSA Upper End Fitting Datum B, Bushing slip fit hole position, End Fitting Bushing interface</t>
  </si>
  <si>
    <t>RSA Upper End Fitting Datum C, strut tube slip fit hole position, Strut Tube interface</t>
  </si>
  <si>
    <t>check angles</t>
  </si>
  <si>
    <t>RSA Upper End Fitting Datum C, strut tube slip fit hole translation, Strut Tube interface</t>
  </si>
  <si>
    <t>RSA Upper End Fitting Datum C, strut tube slip fit hole rotation, Strut Tube interface</t>
  </si>
  <si>
    <t>RSA Upper End Fitting Datum D, strut tube slip fit hole position, Strut Tube interface</t>
  </si>
  <si>
    <t>RSA Upper End Fitting Datum D, strut tube slip fit hole angle, Strut Tube interface</t>
  </si>
  <si>
    <t>Reflector Datum A, Upper Fitting interface</t>
  </si>
  <si>
    <t>H-REF_49</t>
  </si>
  <si>
    <t>H-REF_50</t>
  </si>
  <si>
    <t>Reflector Datum B, Bushing slip fit hole position, End Fitting Bushing interface</t>
  </si>
  <si>
    <t>H-REF_51</t>
  </si>
  <si>
    <t>Reflector bushing slip fit hole translation, End Fitting Bushing interface</t>
  </si>
  <si>
    <t>Reflector bushing slip fit hole rotation, End Fitting Bushing interface</t>
  </si>
  <si>
    <t>H-REF_52</t>
  </si>
  <si>
    <t>Reflector surface</t>
  </si>
  <si>
    <t>profile relative to Datum A, B</t>
  </si>
  <si>
    <t>H-FHA_01</t>
  </si>
  <si>
    <t>H-FHA_02</t>
  </si>
  <si>
    <t>H-FHA_03</t>
  </si>
  <si>
    <t>H-FHA_04</t>
  </si>
  <si>
    <t>H-FHA_05</t>
  </si>
  <si>
    <t>H-FHA_06</t>
  </si>
  <si>
    <t>H-FHA_07</t>
  </si>
  <si>
    <t>H-FHA_08</t>
  </si>
  <si>
    <t>H-FHA_09</t>
  </si>
  <si>
    <t>H-FHA_10</t>
  </si>
  <si>
    <t>H-FHA_11</t>
  </si>
  <si>
    <t>H-FHA_12</t>
  </si>
  <si>
    <t>FSS Lower Tube</t>
  </si>
  <si>
    <t>FSS Plate</t>
  </si>
  <si>
    <t>FSS Upper Tube</t>
  </si>
  <si>
    <t>FHA</t>
  </si>
  <si>
    <t>SMA Housing</t>
  </si>
  <si>
    <t>flatness relative to datum A</t>
  </si>
  <si>
    <t>H-FHA_13</t>
  </si>
  <si>
    <t>Plate, Datum A, Housing interface</t>
  </si>
  <si>
    <t>Plate, Datum B, Housing interface</t>
  </si>
  <si>
    <t>true position relative to datum A, B</t>
  </si>
  <si>
    <t>Plate alignment pin slot fit hole translation, Housing interface</t>
  </si>
  <si>
    <t>Plate alignment pin slot fit hole rotation, Housing interface</t>
  </si>
  <si>
    <t>H-FHA_14</t>
  </si>
  <si>
    <t>H-FHA_15</t>
  </si>
  <si>
    <t>H-FHA_16</t>
  </si>
  <si>
    <t>H-FHA_17</t>
  </si>
  <si>
    <t>H-FHA_18</t>
  </si>
  <si>
    <t>H-FHA_19</t>
  </si>
  <si>
    <t>H-FHA_20</t>
  </si>
  <si>
    <t>H-FHA_21</t>
  </si>
  <si>
    <t>H-FHA_22</t>
  </si>
  <si>
    <t>H-FHA_23</t>
  </si>
  <si>
    <t>Plate alignment pin interference hole position, FSS Lower Tube interface</t>
  </si>
  <si>
    <t>Plate registration slip fit hole position, FSS Lower Tube interface</t>
  </si>
  <si>
    <t>H-FHA_24</t>
  </si>
  <si>
    <t>Plate alignment pin slot slip fit position, Datum C, Housing interface</t>
  </si>
  <si>
    <t>H-FHA_25</t>
  </si>
  <si>
    <t>FSS Lower Tube registration, Datum B translation, FSS Plate interface</t>
  </si>
  <si>
    <t>FSS Lower Tube, Datum A, FSS Plate interface</t>
  </si>
  <si>
    <t>FSS Lower Tube registration, Datum B, FSS Plate interface</t>
  </si>
  <si>
    <t>FSS Lower Tube alignment pin slot slip fit position, Datum C, FSS Plate interface</t>
  </si>
  <si>
    <t>FSS Lower Tube alignment pin slot fit hole translation, FSS Plate interface</t>
  </si>
  <si>
    <t>FSS Lower Tube alignment pin slot fit hole rotation, FSS Plate interface</t>
  </si>
  <si>
    <t>H-FHA_26</t>
  </si>
  <si>
    <t>H-FHA_27</t>
  </si>
  <si>
    <t>H-FHA_28</t>
  </si>
  <si>
    <t>FSS Lower Tube shoulder position, Datum D, FSS Upper Tube interface</t>
  </si>
  <si>
    <t>FSS Lower Tube shoulder orientation, Datum D, FSS Upper Tube interface</t>
  </si>
  <si>
    <t>FSS Lower Tube shoulder orientation, Datum D, cross coupling, FSS Upper Tube interface</t>
  </si>
  <si>
    <t>FSS Lower Tube alignment pin interference hole position, FSS Upper Tube interface</t>
  </si>
  <si>
    <t>FSS Lower Tube registration slip fit hole position, FSS Lower Tube interface</t>
  </si>
  <si>
    <t>true position relative to datum D, B, C</t>
  </si>
  <si>
    <t>H-FHA_29</t>
  </si>
  <si>
    <t>H-FHA_30</t>
  </si>
  <si>
    <t>H-FHA_31</t>
  </si>
  <si>
    <t>H-FHA_32</t>
  </si>
  <si>
    <t>H-FHA_33</t>
  </si>
  <si>
    <t>H-FHA_34</t>
  </si>
  <si>
    <t>H-FHA_35</t>
  </si>
  <si>
    <t>H-FHA_36</t>
  </si>
  <si>
    <t>H-FHA_37</t>
  </si>
  <si>
    <t>H-FHA_38</t>
  </si>
  <si>
    <t>H-FHA_39</t>
  </si>
  <si>
    <t>H-FHA_40</t>
  </si>
  <si>
    <t>H-FHA_41</t>
  </si>
  <si>
    <t>H-FHA_42</t>
  </si>
  <si>
    <t>H-FHA_43</t>
  </si>
  <si>
    <t>FSS Upper Tube, Datum A, FSS Plate interface</t>
  </si>
  <si>
    <t>FSS Upper Tube registration, Datum B, FSS Lower Tube interface</t>
  </si>
  <si>
    <t>FSS Upper Tube registration, Datum B translation, FSS Lower interface</t>
  </si>
  <si>
    <t>FSS Upper Tube alignment pin slot slip fit position, Datum C, FSS Lower Tube interface</t>
  </si>
  <si>
    <t>FSS Upper Tube alignment pin slot fit hole translation, FSS Lower Tube interface</t>
  </si>
  <si>
    <t>FSS Upper Tube alignment pin slot fit hole rotation, FSS Lower Tube interface</t>
  </si>
  <si>
    <t>FSS Upper Tube shoulder position, Datum D, FHA interface</t>
  </si>
  <si>
    <t>FSS Upper Tube shoulder orientation, Datum D, FHA interface</t>
  </si>
  <si>
    <t>FSS Upper Tube shoulder orientation, Datum D, cross coupling, FHA interface</t>
  </si>
  <si>
    <t>FSS Upper Tube alignment pin interference hole position, FHA interface</t>
  </si>
  <si>
    <t>FHA, Datum A, FSS Upper Tube Interface</t>
  </si>
  <si>
    <t>FHA alignment pin slip fit hole position, Datum C, FSS Upper Tube interface</t>
  </si>
  <si>
    <t>FHA alignment pin slip fit hole/slot translation, FSS Upper Tube interface</t>
  </si>
  <si>
    <t>FHA alignment pin slip fit hole/slot rotation, FSS Upper Tube interface</t>
  </si>
  <si>
    <t>H-FHA_44</t>
  </si>
  <si>
    <t>H-FHA_45</t>
  </si>
  <si>
    <t>H-FHA_46</t>
  </si>
  <si>
    <t>H-FHA_47</t>
  </si>
  <si>
    <t>H-FHA_48</t>
  </si>
  <si>
    <t>plannar shim</t>
  </si>
  <si>
    <t>Differential shim, FSS Plate / SMA Housing interface; individually shim at location 1, 2, or 3 full range (+/-.005")</t>
  </si>
  <si>
    <t>Differential shim, FSS Plate / SMA Housing interface, cross coupling; individually shim at location 1, 2, or 3 full range (+/-.005")</t>
  </si>
  <si>
    <t>deleted</t>
  </si>
  <si>
    <t>Differential shim, FSS Plate / SMA Housing interface; shim at locations 1, 2, and 3 full range (+/-.005")</t>
  </si>
  <si>
    <t>H-REF_53</t>
  </si>
  <si>
    <t>RSA Lower End Fitting Datum C, strut tube slip fit hole rotation, cross coupling, Strut Tube interface</t>
  </si>
  <si>
    <t>H-REF_53a</t>
  </si>
  <si>
    <t>H-REF_53b</t>
  </si>
  <si>
    <t>H-REF_53c</t>
  </si>
  <si>
    <t>Rx</t>
  </si>
  <si>
    <t>Ry</t>
  </si>
  <si>
    <t>Rz</t>
  </si>
  <si>
    <t>H-REF_54</t>
  </si>
  <si>
    <t>H-REF_54a</t>
  </si>
  <si>
    <t>H-REF_54b</t>
  </si>
  <si>
    <t>H-REF_54c</t>
  </si>
  <si>
    <t>H-REF_55</t>
  </si>
  <si>
    <t>H-REF_55a</t>
  </si>
  <si>
    <t>H-REF_55b</t>
  </si>
  <si>
    <t>H-REF_56</t>
  </si>
  <si>
    <t>H-REF_56a</t>
  </si>
  <si>
    <t>H-REF_56b</t>
  </si>
  <si>
    <t>H-REF_57</t>
  </si>
  <si>
    <t>H-REF_57a</t>
  </si>
  <si>
    <t>H-REF_57b</t>
  </si>
  <si>
    <t>Inner Flexure Clamp profile, cross coupling, Shaft Top Cap interface</t>
  </si>
  <si>
    <t>cross coupling</t>
  </si>
  <si>
    <t>H-REF_58</t>
  </si>
  <si>
    <t>H-REF_59</t>
  </si>
  <si>
    <t>H-REF_59a</t>
  </si>
  <si>
    <t>H-REF_59b</t>
  </si>
  <si>
    <t>Base Plate End Fitting surface, cross coupling, End Fitting mounting interface</t>
  </si>
  <si>
    <t>H-REF_60</t>
  </si>
  <si>
    <t>H-REF_60a</t>
  </si>
  <si>
    <t>H-REF_60b</t>
  </si>
  <si>
    <t>H-REF_60c</t>
  </si>
  <si>
    <t>H-REF_61</t>
  </si>
  <si>
    <t>H-REF_61a</t>
  </si>
  <si>
    <t>H-REF_61b</t>
  </si>
  <si>
    <t>H-REF_61c</t>
  </si>
  <si>
    <t>RSA Upper End Fitting Datum D, strut tube slip fit hole angle, cross coupling, Strut Tube interface</t>
  </si>
  <si>
    <t>H-REF_62</t>
  </si>
  <si>
    <t>H-REF_63</t>
  </si>
  <si>
    <t>SMA Housing Datum B, Bearing interface</t>
  </si>
  <si>
    <t>SMA Housing Datum A</t>
  </si>
  <si>
    <t>SMA Housing Datum B, cross coupling, Bearing Interface</t>
  </si>
  <si>
    <t>SMA Housing bearing shoulder position, Bearing interface</t>
  </si>
  <si>
    <t>SMA Housing bore translation, Bearing interface</t>
  </si>
  <si>
    <t>Shaft Datum A, Inner Flexure Shim interface</t>
  </si>
  <si>
    <t>Shaft Datum B, Bearing interface</t>
  </si>
  <si>
    <t>Shaft Datum B, cross coupling, Bearing interface</t>
  </si>
  <si>
    <t>Shaft bearing shoulder position, Bearing interface</t>
  </si>
  <si>
    <t>Shaft bore translation, Bearing interface</t>
  </si>
  <si>
    <t>Shaft alignment pin interference fit hole position, Shaft Top Cap mounting interface</t>
  </si>
  <si>
    <t>SMA Housing FSS Plate registration hole position, FSS Plate interface</t>
  </si>
  <si>
    <t>SMA Housing FSS Plate slip fit registration hole translation, FSS Plate interface</t>
  </si>
  <si>
    <t>SMA Housing alignment pin interference hole position, FSS Plate interface</t>
  </si>
  <si>
    <t>SMA Housing FSS Plate registration shoulder position, FSS Plate interface</t>
  </si>
  <si>
    <t>SMA Housing FSS Plate registration shoulder rotation, FSS Plate interface</t>
  </si>
  <si>
    <t>SMA Housing FSS Plate registration shoulder rotation, cross coupling, FHA focus</t>
  </si>
  <si>
    <t>H-REF_64</t>
  </si>
  <si>
    <t>H-FHA_49</t>
  </si>
  <si>
    <t>H-FHA_50</t>
  </si>
  <si>
    <t>Adjustment Capability</t>
  </si>
  <si>
    <t>Adjustment Capability Tolerance Item</t>
  </si>
  <si>
    <t>Type / Capability</t>
  </si>
  <si>
    <t>Tolerance
mm</t>
  </si>
  <si>
    <t>adjustment capability</t>
  </si>
  <si>
    <t>Total Adjustment Capability (summed)</t>
  </si>
  <si>
    <t>Note: these adjustments are not independent; use of fitting/tube rotation (H-REF 35) will result in translation (H-REF 53a,b,c)</t>
  </si>
  <si>
    <t>Cross Coupling from Adjustment</t>
  </si>
  <si>
    <t>ID</t>
  </si>
  <si>
    <t>Cross Coupling Tolerance Item</t>
  </si>
  <si>
    <t>Total Cross Coupling (summed)</t>
  </si>
  <si>
    <t>SMA Housing FSS Plate registration shoulder rotation, cross coupling, FSS Plate interface</t>
  </si>
  <si>
    <t>H-FHA_51</t>
  </si>
  <si>
    <t>H-FHA_51a</t>
  </si>
  <si>
    <t>H-FHA_51b</t>
  </si>
  <si>
    <t>SH-FHA_45</t>
  </si>
  <si>
    <t>Differential shim, FSS Plate / SMA Housing interface, cross coupling; individually shim at location 1, 2, or 3, gradation</t>
  </si>
  <si>
    <t>Differential shim, FSS Plate / SMA Housing interface, cross coupling; individually shim at location 1, 2, or 3 full range (+/-.010")</t>
  </si>
  <si>
    <t>Differential shim, FSS Plate / SMA Housing interface; shim at locations 1, 2, and 3 full range (+/-.010")</t>
  </si>
  <si>
    <t>SH-FHA_48</t>
  </si>
  <si>
    <t>Differential shim, FSS Plate / SMA Housing interface; shim at locations 1, 2, and 3, gradation</t>
  </si>
  <si>
    <t>Reflector/SMA Housing to FHA/SMA Housing (String 1); H-REF + H-FHA</t>
  </si>
  <si>
    <t>Alignment Tolerance Analysis</t>
  </si>
  <si>
    <t>1100-ZTF0900 Alignment Tolerance Analysis</t>
  </si>
  <si>
    <t>Field Flattener Lens to CCD</t>
  </si>
  <si>
    <t>CCD Base</t>
  </si>
  <si>
    <t>Field Flattener Frame</t>
  </si>
  <si>
    <t>Shoulder Bold(?)</t>
  </si>
  <si>
    <t>Field Flattener Lens</t>
  </si>
  <si>
    <t>DPP769423AA</t>
  </si>
  <si>
    <t>DAS770208AT</t>
  </si>
  <si>
    <t>CCD height to FF mounting holes</t>
  </si>
  <si>
    <t>Notes</t>
  </si>
  <si>
    <t>From Roger agreement with e2V</t>
  </si>
  <si>
    <t>1100-ZTF2000Field frame profile</t>
  </si>
  <si>
    <t>Vertical</t>
  </si>
  <si>
    <t>Horizontal</t>
  </si>
  <si>
    <t>Field frame boss profile</t>
  </si>
  <si>
    <t>Max Hole clearance 2.5mm bolt
in 2.90 hole</t>
  </si>
  <si>
    <t>CCD Flatness Front surface</t>
  </si>
  <si>
    <t>worst case (summed)</t>
  </si>
  <si>
    <t>This is our expected tolerance stack-up for the field frames as designed by Matt</t>
  </si>
  <si>
    <t xml:space="preserve">Vertical height change due to </t>
  </si>
  <si>
    <t>Distance between holes 38mm</t>
  </si>
  <si>
    <t>Distance between field frames 93.7mm</t>
  </si>
  <si>
    <t>Numerical value
See Notes</t>
  </si>
  <si>
    <t>CCD base hole position horizontal</t>
  </si>
  <si>
    <t>CCD hole position vertical</t>
  </si>
  <si>
    <t>Field frame lens mounting surface profile</t>
  </si>
  <si>
    <t>Results independently validate by James Wincentsen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</si>
</sst>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[$-409]dddd\,\ mmmm\ dd\,\ yyyy"/>
    <numFmt numFmtId="170" formatCode="[$-409]d\-mmm\-yy;@"/>
    <numFmt numFmtId="171" formatCode="0.000"/>
    <numFmt numFmtId="172" formatCode="&quot;$&quot;#,##0.000"/>
    <numFmt numFmtId="173" formatCode="#,##0.000"/>
    <numFmt numFmtId="174" formatCode="[$-409]h:mm:ss\ AM/PM"/>
    <numFmt numFmtId="175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 horizontal="center" vertical="top"/>
    </xf>
    <xf numFmtId="0" fontId="38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71" fontId="0" fillId="0" borderId="0" xfId="0" applyNumberFormat="1" applyFill="1" applyAlignment="1">
      <alignment horizontal="center" vertical="top"/>
    </xf>
    <xf numFmtId="0" fontId="40" fillId="0" borderId="0" xfId="0" applyFont="1" applyAlignment="1">
      <alignment vertical="top"/>
    </xf>
    <xf numFmtId="0" fontId="0" fillId="0" borderId="0" xfId="0" applyAlignment="1">
      <alignment horizontal="left" vertical="top" wrapText="1" inden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 indent="1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8" fillId="6" borderId="0" xfId="0" applyFont="1" applyFill="1" applyBorder="1" applyAlignment="1">
      <alignment/>
    </xf>
    <xf numFmtId="0" fontId="40" fillId="6" borderId="0" xfId="0" applyFont="1" applyFill="1" applyBorder="1" applyAlignment="1">
      <alignment/>
    </xf>
    <xf numFmtId="171" fontId="38" fillId="6" borderId="0" xfId="0" applyNumberFormat="1" applyFont="1" applyFill="1" applyBorder="1" applyAlignment="1">
      <alignment horizontal="center" wrapText="1"/>
    </xf>
    <xf numFmtId="0" fontId="0" fillId="6" borderId="0" xfId="0" applyFill="1" applyAlignment="1">
      <alignment/>
    </xf>
    <xf numFmtId="0" fontId="0" fillId="6" borderId="0" xfId="0" applyFill="1" applyAlignment="1">
      <alignment wrapText="1"/>
    </xf>
    <xf numFmtId="171" fontId="0" fillId="6" borderId="0" xfId="0" applyNumberFormat="1" applyFill="1" applyAlignment="1">
      <alignment horizontal="center"/>
    </xf>
    <xf numFmtId="0" fontId="40" fillId="6" borderId="0" xfId="0" applyFont="1" applyFill="1" applyAlignment="1">
      <alignment wrapText="1"/>
    </xf>
    <xf numFmtId="0" fontId="38" fillId="0" borderId="0" xfId="0" applyFont="1" applyAlignment="1">
      <alignment wrapText="1"/>
    </xf>
    <xf numFmtId="171" fontId="38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0" fontId="38" fillId="34" borderId="0" xfId="0" applyFont="1" applyFill="1" applyAlignment="1">
      <alignment wrapText="1"/>
    </xf>
    <xf numFmtId="171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8" fillId="33" borderId="0" xfId="0" applyFont="1" applyFill="1" applyAlignment="1">
      <alignment wrapText="1"/>
    </xf>
    <xf numFmtId="171" fontId="38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38" fillId="0" borderId="10" xfId="0" applyFont="1" applyBorder="1" applyAlignment="1">
      <alignment horizontal="left"/>
    </xf>
    <xf numFmtId="171" fontId="38" fillId="0" borderId="0" xfId="0" applyNumberFormat="1" applyFont="1" applyAlignment="1">
      <alignment horizontal="center"/>
    </xf>
    <xf numFmtId="0" fontId="38" fillId="0" borderId="10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38" fillId="33" borderId="0" xfId="0" applyFont="1" applyFill="1" applyAlignment="1">
      <alignment horizontal="left" wrapText="1"/>
    </xf>
    <xf numFmtId="0" fontId="38" fillId="0" borderId="0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171" fontId="0" fillId="0" borderId="0" xfId="0" applyNumberFormat="1" applyAlignment="1">
      <alignment vertical="top"/>
    </xf>
    <xf numFmtId="0" fontId="0" fillId="0" borderId="0" xfId="0" applyAlignment="1">
      <alignment/>
    </xf>
    <xf numFmtId="171" fontId="38" fillId="0" borderId="0" xfId="0" applyNumberFormat="1" applyFont="1" applyAlignment="1">
      <alignment/>
    </xf>
    <xf numFmtId="171" fontId="41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0" fontId="38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85" zoomScaleNormal="85" zoomScalePageLayoutView="0" workbookViewId="0" topLeftCell="A1">
      <pane ySplit="3" topLeftCell="A16" activePane="bottomLeft" state="frozen"/>
      <selection pane="topLeft" activeCell="A1" sqref="A1"/>
      <selection pane="bottomLeft" activeCell="K35" sqref="K35"/>
    </sheetView>
  </sheetViews>
  <sheetFormatPr defaultColWidth="9.140625" defaultRowHeight="15"/>
  <cols>
    <col min="1" max="1" width="11.8515625" style="13" customWidth="1"/>
    <col min="2" max="2" width="36.421875" style="13" customWidth="1"/>
    <col min="3" max="3" width="18.421875" style="13" bestFit="1" customWidth="1"/>
    <col min="4" max="4" width="9.28125" style="13" customWidth="1"/>
    <col min="5" max="6" width="9.421875" style="13" bestFit="1" customWidth="1"/>
    <col min="7" max="7" width="10.7109375" style="13" bestFit="1" customWidth="1"/>
    <col min="8" max="8" width="8.57421875" style="13" bestFit="1" customWidth="1"/>
    <col min="9" max="9" width="9.421875" style="13" bestFit="1" customWidth="1"/>
    <col min="10" max="10" width="10.28125" style="13" bestFit="1" customWidth="1"/>
    <col min="11" max="11" width="95.7109375" style="13" bestFit="1" customWidth="1"/>
    <col min="12" max="12" width="15.57421875" style="13" bestFit="1" customWidth="1"/>
    <col min="13" max="18" width="9.140625" style="13" customWidth="1"/>
    <col min="19" max="19" width="9.28125" style="13" bestFit="1" customWidth="1"/>
    <col min="20" max="16384" width="9.140625" style="13" customWidth="1"/>
  </cols>
  <sheetData>
    <row r="1" spans="1:10" ht="15">
      <c r="A1" s="4" t="s">
        <v>307</v>
      </c>
      <c r="B1" s="35"/>
      <c r="C1" s="13" t="s">
        <v>308</v>
      </c>
      <c r="J1" s="19">
        <f ca="1">NOW()</f>
        <v>41921.49486666667</v>
      </c>
    </row>
    <row r="2" spans="6:7" ht="18.75">
      <c r="F2" s="46" t="s">
        <v>319</v>
      </c>
      <c r="G2" s="46" t="s">
        <v>320</v>
      </c>
    </row>
    <row r="3" spans="1:21" ht="45">
      <c r="A3" s="15" t="s">
        <v>12</v>
      </c>
      <c r="B3" s="15" t="s">
        <v>0</v>
      </c>
      <c r="C3" s="15" t="s">
        <v>4</v>
      </c>
      <c r="D3" s="16" t="s">
        <v>8</v>
      </c>
      <c r="E3" s="16" t="s">
        <v>1</v>
      </c>
      <c r="F3" s="16" t="s">
        <v>2</v>
      </c>
      <c r="G3" s="16" t="s">
        <v>3</v>
      </c>
      <c r="H3" s="16" t="s">
        <v>5</v>
      </c>
      <c r="I3" s="16" t="s">
        <v>6</v>
      </c>
      <c r="J3" s="16" t="s">
        <v>7</v>
      </c>
      <c r="K3" s="45" t="s">
        <v>316</v>
      </c>
      <c r="L3" s="52" t="s">
        <v>329</v>
      </c>
      <c r="M3" s="40"/>
      <c r="N3" s="40"/>
      <c r="O3" s="40"/>
      <c r="P3" s="40"/>
      <c r="Q3" s="40"/>
      <c r="R3" s="40"/>
      <c r="S3" s="40"/>
      <c r="T3" s="40"/>
      <c r="U3" s="40"/>
    </row>
    <row r="4" spans="1:21" ht="30" customHeight="1">
      <c r="A4" s="23"/>
      <c r="B4" s="24" t="s">
        <v>309</v>
      </c>
      <c r="C4" s="23"/>
      <c r="D4" s="25"/>
      <c r="E4" s="25"/>
      <c r="F4" s="25"/>
      <c r="G4" s="25"/>
      <c r="H4" s="25"/>
      <c r="I4" s="25"/>
      <c r="J4" s="25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10" ht="15">
      <c r="A5" s="1"/>
      <c r="B5" s="2"/>
      <c r="C5" s="2"/>
      <c r="D5" s="3"/>
      <c r="E5" s="3"/>
      <c r="F5" s="3"/>
      <c r="G5" s="3"/>
      <c r="H5" s="3"/>
      <c r="I5" s="3"/>
      <c r="J5" s="3"/>
    </row>
    <row r="6" spans="1:10" ht="30" customHeight="1">
      <c r="A6" s="23"/>
      <c r="B6" s="24" t="s">
        <v>310</v>
      </c>
      <c r="C6" s="23"/>
      <c r="D6" s="25"/>
      <c r="E6" s="25"/>
      <c r="F6" s="25"/>
      <c r="G6" s="25"/>
      <c r="H6" s="25"/>
      <c r="I6" s="25"/>
      <c r="J6" s="25"/>
    </row>
    <row r="7" spans="1:10" ht="1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30" customHeight="1">
      <c r="A8" s="23"/>
      <c r="B8" s="24" t="s">
        <v>311</v>
      </c>
      <c r="C8" s="23"/>
      <c r="D8" s="25"/>
      <c r="E8" s="25"/>
      <c r="F8" s="25"/>
      <c r="G8" s="25"/>
      <c r="H8" s="25"/>
      <c r="I8" s="25"/>
      <c r="J8" s="25"/>
    </row>
    <row r="9" spans="1:10" ht="15">
      <c r="A9" s="1"/>
      <c r="B9" s="2"/>
      <c r="C9" s="2"/>
      <c r="D9" s="3"/>
      <c r="E9" s="3"/>
      <c r="F9" s="3"/>
      <c r="G9" s="3"/>
      <c r="H9" s="3"/>
      <c r="I9" s="3"/>
      <c r="J9" s="3"/>
    </row>
    <row r="10" spans="1:10" ht="30" customHeight="1">
      <c r="A10" s="23"/>
      <c r="B10" s="24" t="s">
        <v>312</v>
      </c>
      <c r="C10" s="23"/>
      <c r="D10" s="25"/>
      <c r="E10" s="25"/>
      <c r="F10" s="25"/>
      <c r="G10" s="25"/>
      <c r="H10" s="25"/>
      <c r="I10" s="25"/>
      <c r="J10" s="25"/>
    </row>
    <row r="11" spans="1:10" ht="15">
      <c r="A11" s="1"/>
      <c r="B11" s="2"/>
      <c r="C11" s="2"/>
      <c r="D11" s="3"/>
      <c r="E11" s="3"/>
      <c r="F11" s="3"/>
      <c r="G11" s="3"/>
      <c r="H11" s="3"/>
      <c r="I11" s="3"/>
      <c r="J11" s="3"/>
    </row>
    <row r="12" spans="1:10" ht="15">
      <c r="A12" s="1"/>
      <c r="B12" s="2"/>
      <c r="C12" s="2"/>
      <c r="D12" s="3"/>
      <c r="E12" s="3"/>
      <c r="F12" s="3"/>
      <c r="G12" s="3"/>
      <c r="H12" s="3"/>
      <c r="I12" s="3"/>
      <c r="J12" s="3"/>
    </row>
    <row r="13" spans="1:10" ht="30">
      <c r="A13" s="5"/>
      <c r="B13" s="6"/>
      <c r="C13" s="7"/>
      <c r="D13" s="7"/>
      <c r="E13" s="16" t="s">
        <v>1</v>
      </c>
      <c r="F13" s="16" t="s">
        <v>2</v>
      </c>
      <c r="G13" s="16" t="s">
        <v>3</v>
      </c>
      <c r="H13" s="16" t="s">
        <v>5</v>
      </c>
      <c r="I13" s="16" t="s">
        <v>6</v>
      </c>
      <c r="J13" s="16" t="s">
        <v>7</v>
      </c>
    </row>
    <row r="14" spans="2:10" ht="15">
      <c r="B14" s="21" t="s">
        <v>11</v>
      </c>
      <c r="C14" s="22"/>
      <c r="D14" s="39"/>
      <c r="E14" s="39">
        <f aca="true" t="shared" si="0" ref="E14:J14">SUM(E5:E11)</f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</row>
    <row r="15" spans="2:10" ht="15">
      <c r="B15" s="30" t="s">
        <v>16</v>
      </c>
      <c r="C15" s="14"/>
      <c r="D15" s="38"/>
      <c r="E15" s="38">
        <f aca="true" t="shared" si="1" ref="E15:J15">SQRT(SUMSQ(E4:E11))</f>
        <v>0</v>
      </c>
      <c r="F15" s="38">
        <f t="shared" si="1"/>
        <v>0</v>
      </c>
      <c r="G15" s="38">
        <f t="shared" si="1"/>
        <v>0</v>
      </c>
      <c r="H15" s="38">
        <f t="shared" si="1"/>
        <v>0</v>
      </c>
      <c r="I15" s="38">
        <f t="shared" si="1"/>
        <v>0</v>
      </c>
      <c r="J15" s="38">
        <f t="shared" si="1"/>
        <v>0</v>
      </c>
    </row>
    <row r="16" spans="2:10" ht="15">
      <c r="B16" s="30"/>
      <c r="C16" s="14"/>
      <c r="D16" s="38"/>
      <c r="E16" s="41">
        <f>SQRT(E15^2+F15^2)</f>
        <v>0</v>
      </c>
      <c r="F16" s="41"/>
      <c r="G16" s="38"/>
      <c r="H16" s="41">
        <f>SQRT(H15^2+I15^2)</f>
        <v>0</v>
      </c>
      <c r="I16" s="41"/>
      <c r="J16" s="38"/>
    </row>
    <row r="17" spans="2:10" ht="15">
      <c r="B17" s="17"/>
      <c r="D17" s="20"/>
      <c r="F17" s="20"/>
      <c r="G17" s="20"/>
      <c r="H17" s="20"/>
      <c r="I17" s="20"/>
      <c r="J17" s="20"/>
    </row>
    <row r="18" spans="1:10" ht="15">
      <c r="A18" s="35"/>
      <c r="B18" s="37" t="s">
        <v>284</v>
      </c>
      <c r="C18" s="35"/>
      <c r="D18" s="35"/>
      <c r="E18" s="35"/>
      <c r="F18" s="35"/>
      <c r="G18" s="35"/>
      <c r="H18" s="35"/>
      <c r="I18" s="35"/>
      <c r="J18" s="35"/>
    </row>
    <row r="19" spans="1:10" ht="15">
      <c r="A19" s="35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45">
      <c r="A20" s="15" t="s">
        <v>12</v>
      </c>
      <c r="B20" s="15" t="s">
        <v>285</v>
      </c>
      <c r="C20" s="15" t="s">
        <v>286</v>
      </c>
      <c r="D20" s="16" t="s">
        <v>287</v>
      </c>
      <c r="E20" s="16" t="s">
        <v>1</v>
      </c>
      <c r="F20" s="16" t="s">
        <v>2</v>
      </c>
      <c r="G20" s="16" t="s">
        <v>3</v>
      </c>
      <c r="H20" s="16" t="s">
        <v>5</v>
      </c>
      <c r="I20" s="16" t="s">
        <v>6</v>
      </c>
      <c r="J20" s="16" t="s">
        <v>7</v>
      </c>
    </row>
    <row r="21" spans="1:12" ht="30">
      <c r="A21" s="1" t="s">
        <v>313</v>
      </c>
      <c r="B21" s="2" t="s">
        <v>322</v>
      </c>
      <c r="C21" s="2"/>
      <c r="D21" s="47">
        <v>0.4</v>
      </c>
      <c r="E21" s="47"/>
      <c r="F21" s="47">
        <v>0.2</v>
      </c>
      <c r="G21" s="47">
        <v>0.2</v>
      </c>
      <c r="H21" s="47">
        <f>(SQRT(SUMSQ(F21,D23,D24,D25))/L21)*1000</f>
        <v>7.672305124796448</v>
      </c>
      <c r="I21" s="47">
        <f>(SQRT(SUMSQ(F21,D22,D24,D25))/L22)*1000</f>
        <v>2.5028899465439864</v>
      </c>
      <c r="J21" s="47">
        <f>(SQRT(SUMSQ(F21,D22,D24,D25))/L22)*1000</f>
        <v>2.5028899465439864</v>
      </c>
      <c r="K21" s="13" t="s">
        <v>327</v>
      </c>
      <c r="L21" s="13">
        <v>38</v>
      </c>
    </row>
    <row r="22" spans="1:12" ht="15">
      <c r="A22" s="1" t="s">
        <v>313</v>
      </c>
      <c r="B22" s="2" t="s">
        <v>330</v>
      </c>
      <c r="C22" s="2"/>
      <c r="D22" s="47">
        <v>0.1</v>
      </c>
      <c r="E22" s="47"/>
      <c r="F22" s="47"/>
      <c r="G22" s="47">
        <v>0.1</v>
      </c>
      <c r="H22" s="47"/>
      <c r="I22" s="47"/>
      <c r="J22" s="47"/>
      <c r="K22" s="36" t="s">
        <v>328</v>
      </c>
      <c r="L22" s="13">
        <v>93.7</v>
      </c>
    </row>
    <row r="23" spans="1:11" ht="15">
      <c r="A23" s="1" t="s">
        <v>313</v>
      </c>
      <c r="B23" s="2" t="s">
        <v>331</v>
      </c>
      <c r="C23" s="2"/>
      <c r="D23" s="47">
        <v>0.2</v>
      </c>
      <c r="E23" s="47"/>
      <c r="F23" s="47">
        <v>0.2</v>
      </c>
      <c r="G23" s="47"/>
      <c r="H23" s="47"/>
      <c r="I23" s="47"/>
      <c r="J23" s="47"/>
      <c r="K23" s="36"/>
    </row>
    <row r="24" spans="1:10" ht="30">
      <c r="A24" s="1" t="s">
        <v>318</v>
      </c>
      <c r="B24" s="2" t="s">
        <v>332</v>
      </c>
      <c r="D24" s="47">
        <v>0.05</v>
      </c>
      <c r="E24" s="47">
        <v>0.05</v>
      </c>
      <c r="F24" s="47">
        <v>0.05</v>
      </c>
      <c r="G24" s="47">
        <v>0.05</v>
      </c>
      <c r="H24" s="48"/>
      <c r="I24" s="48"/>
      <c r="J24" s="48"/>
    </row>
    <row r="25" spans="1:10" ht="15">
      <c r="A25" s="1" t="s">
        <v>318</v>
      </c>
      <c r="B25" s="2" t="s">
        <v>321</v>
      </c>
      <c r="D25" s="47">
        <v>0.05</v>
      </c>
      <c r="E25" s="48"/>
      <c r="F25" s="47">
        <v>0.05</v>
      </c>
      <c r="G25" s="47">
        <v>0.05</v>
      </c>
      <c r="H25" s="48"/>
      <c r="I25" s="48"/>
      <c r="J25" s="48"/>
    </row>
    <row r="26" spans="1:10" ht="14.25" customHeight="1">
      <c r="A26" s="1" t="s">
        <v>314</v>
      </c>
      <c r="B26" s="2" t="s">
        <v>323</v>
      </c>
      <c r="D26" s="47">
        <v>0.04</v>
      </c>
      <c r="E26" s="48"/>
      <c r="F26" s="48">
        <v>0.02</v>
      </c>
      <c r="G26" s="48"/>
      <c r="H26" s="48"/>
      <c r="I26" s="48"/>
      <c r="J26" s="48"/>
    </row>
    <row r="27" spans="1:11" ht="15">
      <c r="A27" s="1" t="s">
        <v>314</v>
      </c>
      <c r="B27" s="2" t="s">
        <v>315</v>
      </c>
      <c r="D27" s="47">
        <v>0.02</v>
      </c>
      <c r="E27" s="48"/>
      <c r="F27" s="48">
        <v>0.02</v>
      </c>
      <c r="G27" s="48"/>
      <c r="H27" s="48"/>
      <c r="I27" s="48"/>
      <c r="J27" s="48"/>
      <c r="K27" s="13" t="s">
        <v>317</v>
      </c>
    </row>
    <row r="28" spans="2:10" ht="15">
      <c r="B28" s="2" t="s">
        <v>326</v>
      </c>
      <c r="D28" s="47"/>
      <c r="E28" s="48"/>
      <c r="F28" s="47"/>
      <c r="G28" s="47"/>
      <c r="H28" s="48"/>
      <c r="I28" s="48"/>
      <c r="J28" s="48"/>
    </row>
    <row r="29" spans="2:10" ht="15">
      <c r="B29" s="30"/>
      <c r="C29" s="14"/>
      <c r="D29" s="49"/>
      <c r="E29" s="49"/>
      <c r="F29" s="49"/>
      <c r="G29" s="49"/>
      <c r="H29" s="49"/>
      <c r="I29" s="49"/>
      <c r="J29" s="49"/>
    </row>
    <row r="30" spans="2:11" s="46" customFormat="1" ht="18.75">
      <c r="B30" s="51" t="s">
        <v>16</v>
      </c>
      <c r="D30" s="50"/>
      <c r="E30" s="50">
        <f>SQRT(SUMSQ(E21:E29))</f>
        <v>0.05</v>
      </c>
      <c r="F30" s="50">
        <f>SQRT(SUMSQ(F21:F29))</f>
        <v>0.2929163703175362</v>
      </c>
      <c r="G30" s="50">
        <f>SQRT(SUMSQ(G21:G29))</f>
        <v>0.23452078799117151</v>
      </c>
      <c r="H30" s="50">
        <f>SQRT(SUMSQ(H21:H29))</f>
        <v>7.672305124796448</v>
      </c>
      <c r="I30" s="50">
        <f>SQRT(SUMSQ(I21:I29))</f>
        <v>2.5028899465439864</v>
      </c>
      <c r="J30" s="50">
        <f>SQRT(SUMSQ(J21:J29))</f>
        <v>2.5028899465439864</v>
      </c>
      <c r="K30" s="46" t="s">
        <v>325</v>
      </c>
    </row>
    <row r="31" spans="4:10" s="46" customFormat="1" ht="18.75">
      <c r="D31" s="50"/>
      <c r="E31" s="50"/>
      <c r="F31" s="50"/>
      <c r="G31" s="50"/>
      <c r="H31" s="50"/>
      <c r="I31" s="50"/>
      <c r="J31" s="50"/>
    </row>
    <row r="32" spans="2:10" ht="15">
      <c r="B32" s="2" t="s">
        <v>324</v>
      </c>
      <c r="C32" s="14"/>
      <c r="D32" s="49"/>
      <c r="E32" s="49">
        <f>SUM(E21:E27)</f>
        <v>0.05</v>
      </c>
      <c r="F32" s="49">
        <f>SUM(F21:F27)</f>
        <v>0.54</v>
      </c>
      <c r="G32" s="49">
        <f>SUM(G21:G27)</f>
        <v>0.4</v>
      </c>
      <c r="H32" s="49">
        <f>SUM(H21:H27)</f>
        <v>7.672305124796448</v>
      </c>
      <c r="I32" s="49">
        <f>SUM(I21:I27)</f>
        <v>2.5028899465439864</v>
      </c>
      <c r="J32" s="49">
        <f>SUM(J21:J27)</f>
        <v>2.5028899465439864</v>
      </c>
    </row>
    <row r="33" spans="2:11" ht="15">
      <c r="B33" s="2"/>
      <c r="C33" s="14"/>
      <c r="D33" s="49"/>
      <c r="E33" s="49"/>
      <c r="F33" s="49"/>
      <c r="G33" s="49"/>
      <c r="H33" s="49"/>
      <c r="I33" s="49"/>
      <c r="J33" s="49"/>
      <c r="K33" s="13" t="s">
        <v>333</v>
      </c>
    </row>
    <row r="34" spans="2:10" ht="15">
      <c r="B34" s="2"/>
      <c r="C34" s="14"/>
      <c r="D34" s="49"/>
      <c r="E34" s="49"/>
      <c r="F34" s="49"/>
      <c r="G34" s="49"/>
      <c r="H34" s="49"/>
      <c r="I34" s="49"/>
      <c r="J34" s="49"/>
    </row>
    <row r="35" spans="5:10" ht="15">
      <c r="E35" s="41">
        <f>SQRT(SUMSQ(E21:E24))</f>
        <v>0.05</v>
      </c>
      <c r="F35" s="41"/>
      <c r="G35" s="38"/>
      <c r="H35" s="41">
        <f>SQRT(H29^2+I29^2)</f>
        <v>0</v>
      </c>
      <c r="I35" s="41"/>
      <c r="J35" s="38"/>
    </row>
    <row r="37" spans="1:10" ht="15">
      <c r="A37" s="32"/>
      <c r="B37" s="33" t="s">
        <v>291</v>
      </c>
      <c r="C37" s="32"/>
      <c r="D37" s="32"/>
      <c r="E37" s="32"/>
      <c r="F37" s="32"/>
      <c r="G37" s="32"/>
      <c r="H37" s="32"/>
      <c r="I37" s="32"/>
      <c r="J37" s="32"/>
    </row>
    <row r="38" spans="1:10" ht="45">
      <c r="A38" s="15" t="s">
        <v>292</v>
      </c>
      <c r="B38" s="15" t="s">
        <v>293</v>
      </c>
      <c r="C38" s="15" t="s">
        <v>286</v>
      </c>
      <c r="D38" s="16" t="s">
        <v>287</v>
      </c>
      <c r="E38" s="16" t="s">
        <v>1</v>
      </c>
      <c r="F38" s="16" t="s">
        <v>2</v>
      </c>
      <c r="G38" s="16" t="s">
        <v>3</v>
      </c>
      <c r="H38" s="16" t="s">
        <v>5</v>
      </c>
      <c r="I38" s="16" t="s">
        <v>6</v>
      </c>
      <c r="J38" s="16" t="s">
        <v>7</v>
      </c>
    </row>
    <row r="39" spans="1:7" ht="15">
      <c r="A39" s="1"/>
      <c r="B39" s="2"/>
      <c r="C39" s="2"/>
      <c r="D39" s="3"/>
      <c r="E39" s="3"/>
      <c r="F39" s="3"/>
      <c r="G39" s="3"/>
    </row>
    <row r="41" spans="2:10" ht="15">
      <c r="B41" s="30" t="s">
        <v>294</v>
      </c>
      <c r="C41" s="14"/>
      <c r="D41" s="14"/>
      <c r="E41" s="38">
        <f aca="true" t="shared" si="2" ref="E41:J41">SUM(E39:E39)</f>
        <v>0</v>
      </c>
      <c r="F41" s="38">
        <f t="shared" si="2"/>
        <v>0</v>
      </c>
      <c r="G41" s="38">
        <f t="shared" si="2"/>
        <v>0</v>
      </c>
      <c r="H41" s="38">
        <f t="shared" si="2"/>
        <v>0</v>
      </c>
      <c r="I41" s="38">
        <f t="shared" si="2"/>
        <v>0</v>
      </c>
      <c r="J41" s="38">
        <f t="shared" si="2"/>
        <v>0</v>
      </c>
    </row>
    <row r="42" spans="5:10" ht="15">
      <c r="E42" s="41">
        <f>SQRT(E41^2+F41^2)</f>
        <v>0</v>
      </c>
      <c r="F42" s="41"/>
      <c r="G42" s="38"/>
      <c r="H42" s="41">
        <f>SQRT(H41^2+I41^2)</f>
        <v>0</v>
      </c>
      <c r="I42" s="41"/>
      <c r="J42" s="38"/>
    </row>
  </sheetData>
  <sheetProtection/>
  <mergeCells count="8">
    <mergeCell ref="E42:F42"/>
    <mergeCell ref="H42:I42"/>
    <mergeCell ref="L4:U4"/>
    <mergeCell ref="E16:F16"/>
    <mergeCell ref="H16:I16"/>
    <mergeCell ref="B19:J19"/>
    <mergeCell ref="E35:F35"/>
    <mergeCell ref="H35:I35"/>
  </mergeCells>
  <printOptions gridLines="1"/>
  <pageMargins left="0.7" right="0.7" top="0.75" bottom="0.75" header="0.3" footer="0.3"/>
  <pageSetup fitToHeight="0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2"/>
  <sheetViews>
    <sheetView zoomScale="85" zoomScaleNormal="85" zoomScalePageLayoutView="0" workbookViewId="0" topLeftCell="A1">
      <pane ySplit="3" topLeftCell="A151" activePane="bottomLeft" state="frozen"/>
      <selection pane="topLeft" activeCell="A1" sqref="A1"/>
      <selection pane="bottomLeft" activeCell="E160" sqref="E160:F160"/>
    </sheetView>
  </sheetViews>
  <sheetFormatPr defaultColWidth="9.140625" defaultRowHeight="15"/>
  <cols>
    <col min="1" max="1" width="11.8515625" style="13" customWidth="1"/>
    <col min="2" max="2" width="36.421875" style="13" customWidth="1"/>
    <col min="3" max="3" width="18.421875" style="13" bestFit="1" customWidth="1"/>
    <col min="4" max="4" width="9.28125" style="13" customWidth="1"/>
    <col min="5" max="9" width="9.421875" style="13" bestFit="1" customWidth="1"/>
    <col min="10" max="10" width="10.28125" style="13" bestFit="1" customWidth="1"/>
    <col min="11" max="18" width="9.140625" style="13" customWidth="1"/>
    <col min="19" max="19" width="9.28125" style="13" bestFit="1" customWidth="1"/>
    <col min="20" max="16384" width="9.140625" style="13" customWidth="1"/>
  </cols>
  <sheetData>
    <row r="1" spans="1:10" ht="15">
      <c r="A1" s="4" t="s">
        <v>306</v>
      </c>
      <c r="B1" s="35"/>
      <c r="C1" s="13" t="s">
        <v>305</v>
      </c>
      <c r="J1" s="19">
        <f ca="1">NOW()</f>
        <v>41921.49486666667</v>
      </c>
    </row>
    <row r="3" spans="1:21" ht="30">
      <c r="A3" s="15" t="s">
        <v>12</v>
      </c>
      <c r="B3" s="15" t="s">
        <v>0</v>
      </c>
      <c r="C3" s="15" t="s">
        <v>4</v>
      </c>
      <c r="D3" s="16" t="s">
        <v>8</v>
      </c>
      <c r="E3" s="16" t="s">
        <v>1</v>
      </c>
      <c r="F3" s="16" t="s">
        <v>2</v>
      </c>
      <c r="G3" s="16" t="s">
        <v>3</v>
      </c>
      <c r="H3" s="16" t="s">
        <v>5</v>
      </c>
      <c r="I3" s="16" t="s">
        <v>6</v>
      </c>
      <c r="J3" s="16" t="s">
        <v>7</v>
      </c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30" customHeight="1">
      <c r="A4" s="23"/>
      <c r="B4" s="24" t="s">
        <v>148</v>
      </c>
      <c r="C4" s="23"/>
      <c r="D4" s="25"/>
      <c r="E4" s="25"/>
      <c r="F4" s="25"/>
      <c r="G4" s="25"/>
      <c r="H4" s="25"/>
      <c r="I4" s="25"/>
      <c r="J4" s="25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10" ht="15">
      <c r="A5" s="1" t="s">
        <v>20</v>
      </c>
      <c r="B5" s="2" t="s">
        <v>265</v>
      </c>
      <c r="C5" s="2" t="s">
        <v>10</v>
      </c>
      <c r="D5" s="3">
        <v>0.03</v>
      </c>
      <c r="E5" s="3"/>
      <c r="F5" s="3"/>
      <c r="G5" s="3"/>
      <c r="H5" s="3">
        <v>0</v>
      </c>
      <c r="I5" s="3">
        <v>0</v>
      </c>
      <c r="J5" s="3"/>
    </row>
    <row r="6" spans="1:10" ht="30">
      <c r="A6" s="1" t="s">
        <v>21</v>
      </c>
      <c r="B6" s="2" t="s">
        <v>264</v>
      </c>
      <c r="C6" s="2" t="s">
        <v>17</v>
      </c>
      <c r="D6" s="3">
        <v>0.01</v>
      </c>
      <c r="E6" s="3"/>
      <c r="F6" s="3"/>
      <c r="G6" s="3"/>
      <c r="H6" s="3">
        <f>(ATAN(D6/57)*10^3)</f>
        <v>0.17543859469130407</v>
      </c>
      <c r="I6" s="3">
        <f>(ATAN(D6/57)*10^3)</f>
        <v>0.17543859469130407</v>
      </c>
      <c r="J6" s="3"/>
    </row>
    <row r="7" spans="1:10" ht="30">
      <c r="A7" s="1" t="s">
        <v>237</v>
      </c>
      <c r="B7" s="2" t="s">
        <v>266</v>
      </c>
      <c r="C7" s="2" t="s">
        <v>247</v>
      </c>
      <c r="D7" s="3">
        <v>0.01</v>
      </c>
      <c r="E7" s="3"/>
      <c r="F7" s="3"/>
      <c r="G7" s="3"/>
      <c r="H7" s="3"/>
      <c r="I7" s="3"/>
      <c r="J7" s="3"/>
    </row>
    <row r="8" spans="1:10" ht="15">
      <c r="A8" s="1" t="s">
        <v>238</v>
      </c>
      <c r="B8" s="10" t="s">
        <v>230</v>
      </c>
      <c r="C8" s="2" t="s">
        <v>247</v>
      </c>
      <c r="D8" s="3"/>
      <c r="E8" s="3"/>
      <c r="F8" s="3">
        <f>513*SIN(H6*10^-3)</f>
        <v>0.08999999861495848</v>
      </c>
      <c r="G8" s="3">
        <f>513-513*COS(H6*10^-3)</f>
        <v>7.894736654634471E-06</v>
      </c>
      <c r="H8" s="3"/>
      <c r="I8" s="3"/>
      <c r="J8" s="3"/>
    </row>
    <row r="9" spans="1:10" ht="15">
      <c r="A9" s="1" t="s">
        <v>239</v>
      </c>
      <c r="B9" s="10" t="s">
        <v>231</v>
      </c>
      <c r="C9" s="2" t="s">
        <v>247</v>
      </c>
      <c r="D9" s="3"/>
      <c r="E9" s="3">
        <f>513*SIN(I6*10^-3)</f>
        <v>0.08999999861495848</v>
      </c>
      <c r="F9" s="3"/>
      <c r="G9" s="3">
        <f>513-513*COS(I6*10^-3)</f>
        <v>7.894736654634471E-06</v>
      </c>
      <c r="H9" s="3"/>
      <c r="I9" s="3"/>
      <c r="J9" s="3"/>
    </row>
    <row r="10" spans="1:10" ht="30">
      <c r="A10" s="1" t="s">
        <v>22</v>
      </c>
      <c r="B10" s="2" t="s">
        <v>267</v>
      </c>
      <c r="C10" s="2" t="s">
        <v>27</v>
      </c>
      <c r="D10" s="3">
        <v>0.1</v>
      </c>
      <c r="E10" s="3"/>
      <c r="F10" s="3"/>
      <c r="G10" s="3">
        <f>D10/2</f>
        <v>0.05</v>
      </c>
      <c r="H10" s="3"/>
      <c r="I10" s="3"/>
      <c r="J10" s="3"/>
    </row>
    <row r="11" spans="1:10" ht="30">
      <c r="A11" s="1" t="s">
        <v>23</v>
      </c>
      <c r="B11" s="2" t="s">
        <v>268</v>
      </c>
      <c r="C11" s="2" t="s">
        <v>9</v>
      </c>
      <c r="D11" s="3">
        <f>(215.9+0.01)-(215.9-0.0127)</f>
        <v>0.022699999999986176</v>
      </c>
      <c r="E11" s="3">
        <f>D11/2</f>
        <v>0.011349999999993088</v>
      </c>
      <c r="F11" s="3">
        <f>D11/2</f>
        <v>0.011349999999993088</v>
      </c>
      <c r="G11" s="3"/>
      <c r="H11" s="3"/>
      <c r="I11" s="3"/>
      <c r="J11" s="3"/>
    </row>
    <row r="12" spans="1:10" ht="15">
      <c r="A12" s="1" t="s">
        <v>262</v>
      </c>
      <c r="B12" s="2" t="s">
        <v>223</v>
      </c>
      <c r="C12" s="2"/>
      <c r="D12" s="3">
        <v>0</v>
      </c>
      <c r="E12" s="3"/>
      <c r="F12" s="3"/>
      <c r="G12" s="3">
        <f>D12/2</f>
        <v>0</v>
      </c>
      <c r="H12" s="3"/>
      <c r="I12" s="3"/>
      <c r="J12" s="3"/>
    </row>
    <row r="13" spans="1:10" ht="15">
      <c r="A13" s="1" t="s">
        <v>263</v>
      </c>
      <c r="B13" s="2" t="s">
        <v>223</v>
      </c>
      <c r="C13" s="2"/>
      <c r="D13" s="3">
        <v>0</v>
      </c>
      <c r="E13" s="3"/>
      <c r="F13" s="3"/>
      <c r="G13" s="3"/>
      <c r="H13" s="3">
        <f>(ATAN(D13/434)*10^3)</f>
        <v>0</v>
      </c>
      <c r="I13" s="3">
        <f>(ATAN(D13/376)*10^3)</f>
        <v>0</v>
      </c>
      <c r="J13" s="3"/>
    </row>
    <row r="14" spans="1:10" ht="45">
      <c r="A14" s="1" t="s">
        <v>281</v>
      </c>
      <c r="B14" s="2" t="s">
        <v>275</v>
      </c>
      <c r="C14" s="2" t="s">
        <v>80</v>
      </c>
      <c r="D14" s="3">
        <v>0.05</v>
      </c>
      <c r="E14" s="3">
        <f>D14/2</f>
        <v>0.025</v>
      </c>
      <c r="F14" s="3">
        <f>D14/2</f>
        <v>0.025</v>
      </c>
      <c r="G14" s="3"/>
      <c r="H14" s="3"/>
      <c r="I14" s="3"/>
      <c r="J14" s="3"/>
    </row>
    <row r="15" spans="1:10" ht="30" customHeight="1">
      <c r="A15" s="23"/>
      <c r="B15" s="24" t="s">
        <v>18</v>
      </c>
      <c r="C15" s="23"/>
      <c r="D15" s="25"/>
      <c r="E15" s="25"/>
      <c r="F15" s="25"/>
      <c r="G15" s="25"/>
      <c r="H15" s="25"/>
      <c r="I15" s="25"/>
      <c r="J15" s="25"/>
    </row>
    <row r="16" spans="1:10" ht="30">
      <c r="A16" s="1" t="s">
        <v>24</v>
      </c>
      <c r="B16" s="2" t="s">
        <v>269</v>
      </c>
      <c r="C16" s="2" t="s">
        <v>10</v>
      </c>
      <c r="D16" s="3">
        <v>0.03</v>
      </c>
      <c r="E16" s="3"/>
      <c r="F16" s="3"/>
      <c r="G16" s="3"/>
      <c r="H16" s="3">
        <v>0</v>
      </c>
      <c r="I16" s="3">
        <v>0</v>
      </c>
      <c r="J16" s="3"/>
    </row>
    <row r="17" spans="1:10" ht="30">
      <c r="A17" s="1" t="s">
        <v>25</v>
      </c>
      <c r="B17" s="2" t="s">
        <v>270</v>
      </c>
      <c r="C17" s="2" t="s">
        <v>17</v>
      </c>
      <c r="D17" s="3">
        <v>0.01</v>
      </c>
      <c r="E17" s="3"/>
      <c r="F17" s="3"/>
      <c r="G17" s="3"/>
      <c r="H17" s="3">
        <f>(ATAN(D17/56.55)*10^3)</f>
        <v>0.17683465775004442</v>
      </c>
      <c r="I17" s="3">
        <f>(ATAN(D17/56.55)*10^3)</f>
        <v>0.17683465775004442</v>
      </c>
      <c r="J17" s="3"/>
    </row>
    <row r="18" spans="1:10" ht="30">
      <c r="A18" s="1" t="s">
        <v>240</v>
      </c>
      <c r="B18" s="2" t="s">
        <v>271</v>
      </c>
      <c r="C18" s="2" t="s">
        <v>247</v>
      </c>
      <c r="D18" s="3">
        <v>0.01</v>
      </c>
      <c r="E18" s="3"/>
      <c r="F18" s="3"/>
      <c r="G18" s="3"/>
      <c r="H18" s="3"/>
      <c r="I18" s="3"/>
      <c r="J18" s="3"/>
    </row>
    <row r="19" spans="1:10" ht="15">
      <c r="A19" s="1" t="s">
        <v>241</v>
      </c>
      <c r="B19" s="10" t="s">
        <v>230</v>
      </c>
      <c r="C19" s="2" t="s">
        <v>247</v>
      </c>
      <c r="D19" s="3"/>
      <c r="E19" s="3"/>
      <c r="F19" s="3">
        <f>513*SIN(H17*10^-3)</f>
        <v>0.0907161789529828</v>
      </c>
      <c r="G19" s="3">
        <f>513-513*COS(H17*10^-3)</f>
        <v>8.020882319215161E-06</v>
      </c>
      <c r="H19" s="3"/>
      <c r="I19" s="3"/>
      <c r="J19" s="3"/>
    </row>
    <row r="20" spans="1:10" ht="15">
      <c r="A20" s="1" t="s">
        <v>242</v>
      </c>
      <c r="B20" s="10" t="s">
        <v>231</v>
      </c>
      <c r="C20" s="2" t="s">
        <v>247</v>
      </c>
      <c r="D20" s="3"/>
      <c r="E20" s="3">
        <f>513*SIN(I17*10^-3)</f>
        <v>0.0907161789529828</v>
      </c>
      <c r="F20" s="3"/>
      <c r="G20" s="3">
        <f>513-513*COS(I17*10^-3)</f>
        <v>8.020882319215161E-06</v>
      </c>
      <c r="H20" s="3"/>
      <c r="I20" s="3"/>
      <c r="J20" s="3"/>
    </row>
    <row r="21" spans="1:10" ht="30">
      <c r="A21" s="1" t="s">
        <v>26</v>
      </c>
      <c r="B21" s="2" t="s">
        <v>272</v>
      </c>
      <c r="C21" s="2" t="s">
        <v>28</v>
      </c>
      <c r="D21" s="3">
        <v>0.1</v>
      </c>
      <c r="E21" s="3"/>
      <c r="F21" s="3"/>
      <c r="G21" s="3">
        <f>D21/2</f>
        <v>0.05</v>
      </c>
      <c r="H21" s="3"/>
      <c r="I21" s="3"/>
      <c r="J21" s="3"/>
    </row>
    <row r="22" spans="1:10" ht="30">
      <c r="A22" s="1" t="s">
        <v>30</v>
      </c>
      <c r="B22" s="2" t="s">
        <v>273</v>
      </c>
      <c r="C22" s="2" t="s">
        <v>9</v>
      </c>
      <c r="D22" s="3">
        <f>(165.1+0)-(165.08-0)</f>
        <v>0.01999999999998181</v>
      </c>
      <c r="E22" s="3">
        <f>D22/2</f>
        <v>0.009999999999990905</v>
      </c>
      <c r="F22" s="3">
        <f>D22/2</f>
        <v>0.009999999999990905</v>
      </c>
      <c r="G22" s="3"/>
      <c r="H22" s="3"/>
      <c r="I22" s="3"/>
      <c r="J22" s="3"/>
    </row>
    <row r="23" spans="1:10" ht="45">
      <c r="A23" s="1" t="s">
        <v>31</v>
      </c>
      <c r="B23" s="2" t="s">
        <v>274</v>
      </c>
      <c r="C23" s="2" t="s">
        <v>29</v>
      </c>
      <c r="D23" s="3">
        <v>0.05</v>
      </c>
      <c r="E23" s="3">
        <f>D23/2</f>
        <v>0.025</v>
      </c>
      <c r="F23" s="3">
        <f>D23/2</f>
        <v>0.025</v>
      </c>
      <c r="G23" s="3"/>
      <c r="H23" s="3"/>
      <c r="I23" s="3"/>
      <c r="J23" s="3"/>
    </row>
    <row r="24" spans="1:10" ht="30" customHeight="1">
      <c r="A24" s="23"/>
      <c r="B24" s="24" t="s">
        <v>32</v>
      </c>
      <c r="C24" s="23"/>
      <c r="D24" s="25"/>
      <c r="E24" s="25"/>
      <c r="F24" s="25"/>
      <c r="G24" s="25"/>
      <c r="H24" s="25"/>
      <c r="I24" s="25"/>
      <c r="J24" s="25"/>
    </row>
    <row r="25" spans="1:10" ht="15">
      <c r="A25" s="1" t="s">
        <v>33</v>
      </c>
      <c r="B25" s="2" t="s">
        <v>47</v>
      </c>
      <c r="C25" s="2" t="s">
        <v>10</v>
      </c>
      <c r="D25" s="3">
        <v>0.25</v>
      </c>
      <c r="E25" s="3"/>
      <c r="F25" s="3"/>
      <c r="G25" s="3"/>
      <c r="H25" s="3">
        <v>0</v>
      </c>
      <c r="I25" s="3">
        <v>0</v>
      </c>
      <c r="J25" s="3"/>
    </row>
    <row r="26" spans="1:10" ht="30">
      <c r="A26" s="1" t="s">
        <v>34</v>
      </c>
      <c r="B26" s="2" t="s">
        <v>36</v>
      </c>
      <c r="C26" s="2" t="s">
        <v>28</v>
      </c>
      <c r="D26" s="3">
        <v>0.1</v>
      </c>
      <c r="E26" s="3"/>
      <c r="F26" s="3"/>
      <c r="G26" s="3">
        <f>D26/2</f>
        <v>0.05</v>
      </c>
      <c r="H26" s="3"/>
      <c r="I26" s="3"/>
      <c r="J26" s="3"/>
    </row>
    <row r="27" spans="1:10" ht="30">
      <c r="A27" s="1" t="s">
        <v>35</v>
      </c>
      <c r="B27" s="2" t="s">
        <v>37</v>
      </c>
      <c r="C27" s="2" t="s">
        <v>28</v>
      </c>
      <c r="D27" s="3">
        <v>0.1</v>
      </c>
      <c r="E27" s="3"/>
      <c r="F27" s="3"/>
      <c r="G27" s="3"/>
      <c r="H27" s="3">
        <f>(ATAN(D27/188)*10^3)</f>
        <v>0.5319148434515237</v>
      </c>
      <c r="I27" s="3">
        <f>(ATAN(D27/188)*10^3)</f>
        <v>0.5319148434515237</v>
      </c>
      <c r="J27" s="3"/>
    </row>
    <row r="28" spans="1:10" ht="30">
      <c r="A28" s="1" t="s">
        <v>243</v>
      </c>
      <c r="B28" s="2" t="s">
        <v>246</v>
      </c>
      <c r="C28" s="2" t="s">
        <v>247</v>
      </c>
      <c r="D28" s="3">
        <v>0.01</v>
      </c>
      <c r="E28" s="3"/>
      <c r="F28" s="3"/>
      <c r="G28" s="3"/>
      <c r="H28" s="3"/>
      <c r="I28" s="3"/>
      <c r="J28" s="3"/>
    </row>
    <row r="29" spans="1:10" ht="15">
      <c r="A29" s="1" t="s">
        <v>244</v>
      </c>
      <c r="B29" s="10" t="s">
        <v>230</v>
      </c>
      <c r="C29" s="2" t="s">
        <v>247</v>
      </c>
      <c r="D29" s="3"/>
      <c r="E29" s="3"/>
      <c r="F29" s="3">
        <f>513*SIN(H27*10^-3)</f>
        <v>0.2728723018231832</v>
      </c>
      <c r="G29" s="3">
        <f>513-513*COS(H27*10^-3)</f>
        <v>7.257241554725624E-05</v>
      </c>
      <c r="H29" s="3"/>
      <c r="I29" s="3"/>
      <c r="J29" s="3"/>
    </row>
    <row r="30" spans="1:10" ht="15">
      <c r="A30" s="1" t="s">
        <v>245</v>
      </c>
      <c r="B30" s="10" t="s">
        <v>231</v>
      </c>
      <c r="C30" s="2" t="s">
        <v>247</v>
      </c>
      <c r="D30" s="3"/>
      <c r="E30" s="3">
        <f>513*SIN(I27*10^-3)</f>
        <v>0.2728723018231832</v>
      </c>
      <c r="F30" s="3"/>
      <c r="G30" s="3">
        <f>513-513*COS(I27*10^-3)</f>
        <v>7.257241554725624E-05</v>
      </c>
      <c r="H30" s="3"/>
      <c r="I30" s="3"/>
      <c r="J30" s="3"/>
    </row>
    <row r="31" spans="1:10" ht="30" customHeight="1">
      <c r="A31" s="23"/>
      <c r="B31" s="24" t="s">
        <v>38</v>
      </c>
      <c r="C31" s="23"/>
      <c r="D31" s="25"/>
      <c r="E31" s="25"/>
      <c r="F31" s="25"/>
      <c r="G31" s="25"/>
      <c r="H31" s="25"/>
      <c r="I31" s="25"/>
      <c r="J31" s="25"/>
    </row>
    <row r="32" spans="1:10" ht="15">
      <c r="A32" s="1" t="s">
        <v>39</v>
      </c>
      <c r="B32" s="2" t="s">
        <v>40</v>
      </c>
      <c r="C32" s="2" t="s">
        <v>10</v>
      </c>
      <c r="D32" s="3">
        <v>0.05</v>
      </c>
      <c r="E32" s="3"/>
      <c r="F32" s="3"/>
      <c r="G32" s="3"/>
      <c r="H32" s="3">
        <v>0</v>
      </c>
      <c r="I32" s="3">
        <v>0</v>
      </c>
      <c r="J32" s="3"/>
    </row>
    <row r="33" spans="1:10" ht="30">
      <c r="A33" s="1" t="s">
        <v>41</v>
      </c>
      <c r="B33" s="2" t="s">
        <v>42</v>
      </c>
      <c r="C33" s="2" t="s">
        <v>14</v>
      </c>
      <c r="D33" s="3">
        <v>0.01</v>
      </c>
      <c r="E33" s="3">
        <v>0</v>
      </c>
      <c r="F33" s="3">
        <v>0</v>
      </c>
      <c r="G33" s="3"/>
      <c r="H33" s="3"/>
      <c r="I33" s="3"/>
      <c r="J33" s="3"/>
    </row>
    <row r="34" spans="1:10" ht="45">
      <c r="A34" s="1" t="s">
        <v>43</v>
      </c>
      <c r="B34" s="2" t="s">
        <v>48</v>
      </c>
      <c r="C34" s="2" t="s">
        <v>29</v>
      </c>
      <c r="D34" s="3">
        <v>0</v>
      </c>
      <c r="E34" s="3">
        <f>D34/2</f>
        <v>0</v>
      </c>
      <c r="F34" s="3">
        <f>D34/2</f>
        <v>0</v>
      </c>
      <c r="G34" s="3"/>
      <c r="H34" s="3"/>
      <c r="I34" s="3"/>
      <c r="J34" s="3"/>
    </row>
    <row r="35" spans="1:10" ht="30">
      <c r="A35" s="1" t="s">
        <v>44</v>
      </c>
      <c r="B35" s="2" t="s">
        <v>50</v>
      </c>
      <c r="C35" s="2" t="s">
        <v>9</v>
      </c>
      <c r="D35" s="3">
        <f>(4.773+0.01)-4.765</f>
        <v>0.017999999999999794</v>
      </c>
      <c r="E35" s="3">
        <f>D35/2</f>
        <v>0.008999999999999897</v>
      </c>
      <c r="F35" s="3">
        <f>D35/2</f>
        <v>0.008999999999999897</v>
      </c>
      <c r="G35" s="3"/>
      <c r="H35" s="3"/>
      <c r="I35" s="3"/>
      <c r="J35" s="3"/>
    </row>
    <row r="36" spans="1:10" ht="30">
      <c r="A36" s="1" t="s">
        <v>45</v>
      </c>
      <c r="B36" s="2" t="s">
        <v>51</v>
      </c>
      <c r="C36" s="2" t="s">
        <v>9</v>
      </c>
      <c r="D36" s="3">
        <f>(4.773+0.01)-4.765</f>
        <v>0.017999999999999794</v>
      </c>
      <c r="E36" s="3"/>
      <c r="F36" s="3"/>
      <c r="G36" s="3"/>
      <c r="H36" s="3"/>
      <c r="I36" s="3"/>
      <c r="J36" s="3">
        <f>(ATAN(D36/140)*10^3)/2</f>
        <v>0.06428571393148615</v>
      </c>
    </row>
    <row r="37" spans="1:10" ht="15">
      <c r="A37" s="1" t="s">
        <v>248</v>
      </c>
      <c r="B37" s="2" t="s">
        <v>48</v>
      </c>
      <c r="C37" s="2" t="s">
        <v>247</v>
      </c>
      <c r="D37" s="3">
        <f>(4.773+0.01)-4.765</f>
        <v>0.017999999999999794</v>
      </c>
      <c r="E37" s="3"/>
      <c r="F37" s="3"/>
      <c r="G37" s="3"/>
      <c r="H37" s="3"/>
      <c r="I37" s="3"/>
      <c r="J37" s="3"/>
    </row>
    <row r="38" spans="1:10" ht="45">
      <c r="A38" s="1" t="s">
        <v>46</v>
      </c>
      <c r="B38" s="2" t="s">
        <v>49</v>
      </c>
      <c r="C38" s="2" t="s">
        <v>15</v>
      </c>
      <c r="D38" s="3">
        <v>0.05</v>
      </c>
      <c r="E38" s="3">
        <f>D38/2</f>
        <v>0.025</v>
      </c>
      <c r="F38" s="3">
        <f>D38/2</f>
        <v>0.025</v>
      </c>
      <c r="G38" s="3"/>
      <c r="H38" s="3"/>
      <c r="I38" s="3"/>
      <c r="J38" s="3"/>
    </row>
    <row r="39" spans="1:10" ht="30">
      <c r="A39" s="1" t="s">
        <v>52</v>
      </c>
      <c r="B39" s="2" t="s">
        <v>54</v>
      </c>
      <c r="C39" s="2" t="s">
        <v>9</v>
      </c>
      <c r="D39" s="3">
        <f>(19+0.013)-18.99</f>
        <v>0.02300000000000324</v>
      </c>
      <c r="E39" s="3">
        <f>D39/2</f>
        <v>0.01150000000000162</v>
      </c>
      <c r="F39" s="3">
        <f>D39/2</f>
        <v>0.01150000000000162</v>
      </c>
      <c r="G39" s="3"/>
      <c r="H39" s="3"/>
      <c r="I39" s="3"/>
      <c r="J39" s="3"/>
    </row>
    <row r="40" spans="1:10" ht="30">
      <c r="A40" s="1" t="s">
        <v>53</v>
      </c>
      <c r="B40" s="2" t="s">
        <v>55</v>
      </c>
      <c r="C40" s="2" t="s">
        <v>9</v>
      </c>
      <c r="D40" s="3">
        <f>(19+0.013)-18.99</f>
        <v>0.02300000000000324</v>
      </c>
      <c r="E40" s="3"/>
      <c r="F40" s="3"/>
      <c r="G40" s="3"/>
      <c r="H40" s="3"/>
      <c r="I40" s="3"/>
      <c r="J40" s="3">
        <f>(ATAN(D40/150)*10^3)/2</f>
        <v>0.07666666606583797</v>
      </c>
    </row>
    <row r="41" spans="1:10" ht="30">
      <c r="A41" s="1" t="s">
        <v>56</v>
      </c>
      <c r="B41" s="2" t="s">
        <v>57</v>
      </c>
      <c r="C41" s="2" t="s">
        <v>58</v>
      </c>
      <c r="D41" s="3">
        <v>0.1</v>
      </c>
      <c r="E41" s="3"/>
      <c r="F41" s="3"/>
      <c r="G41" s="3">
        <f>D41/2</f>
        <v>0.05</v>
      </c>
      <c r="H41" s="3"/>
      <c r="I41" s="3"/>
      <c r="J41" s="3"/>
    </row>
    <row r="42" spans="1:10" ht="30" customHeight="1">
      <c r="A42" s="26"/>
      <c r="B42" s="29" t="s">
        <v>59</v>
      </c>
      <c r="C42" s="27"/>
      <c r="D42" s="28"/>
      <c r="E42" s="28"/>
      <c r="F42" s="28"/>
      <c r="G42" s="28"/>
      <c r="H42" s="28"/>
      <c r="I42" s="28"/>
      <c r="J42" s="28"/>
    </row>
    <row r="43" spans="1:10" ht="30">
      <c r="A43" s="1" t="s">
        <v>60</v>
      </c>
      <c r="B43" s="2" t="s">
        <v>62</v>
      </c>
      <c r="C43" s="2" t="s">
        <v>28</v>
      </c>
      <c r="D43" s="3">
        <v>0.1</v>
      </c>
      <c r="E43" s="3"/>
      <c r="F43" s="3"/>
      <c r="G43" s="3">
        <f>D43/2</f>
        <v>0.05</v>
      </c>
      <c r="H43" s="3"/>
      <c r="I43" s="3"/>
      <c r="J43" s="3"/>
    </row>
    <row r="44" spans="1:11" ht="30">
      <c r="A44" s="9" t="s">
        <v>61</v>
      </c>
      <c r="B44" s="11" t="s">
        <v>63</v>
      </c>
      <c r="C44" s="11" t="s">
        <v>288</v>
      </c>
      <c r="D44" s="3"/>
      <c r="E44" s="3"/>
      <c r="F44" s="3"/>
      <c r="G44" s="3"/>
      <c r="H44" s="3"/>
      <c r="I44" s="3"/>
      <c r="J44" s="3"/>
      <c r="K44" s="36"/>
    </row>
    <row r="45" spans="1:10" ht="30" customHeight="1">
      <c r="A45" s="26"/>
      <c r="B45" s="29" t="s">
        <v>64</v>
      </c>
      <c r="C45" s="27"/>
      <c r="D45" s="28"/>
      <c r="E45" s="28"/>
      <c r="F45" s="28"/>
      <c r="G45" s="28"/>
      <c r="H45" s="28"/>
      <c r="I45" s="28"/>
      <c r="J45" s="28"/>
    </row>
    <row r="46" spans="1:10" ht="30">
      <c r="A46" s="1" t="s">
        <v>65</v>
      </c>
      <c r="B46" s="2" t="s">
        <v>66</v>
      </c>
      <c r="C46" s="2" t="s">
        <v>10</v>
      </c>
      <c r="D46" s="3">
        <v>0.1</v>
      </c>
      <c r="E46" s="3"/>
      <c r="F46" s="3"/>
      <c r="G46" s="3"/>
      <c r="H46" s="3">
        <v>0</v>
      </c>
      <c r="I46" s="3">
        <v>0</v>
      </c>
      <c r="J46" s="3"/>
    </row>
    <row r="47" spans="1:10" ht="30">
      <c r="A47" s="1" t="s">
        <v>67</v>
      </c>
      <c r="B47" s="2" t="s">
        <v>68</v>
      </c>
      <c r="C47" s="2" t="s">
        <v>69</v>
      </c>
      <c r="D47" s="3">
        <v>0.05</v>
      </c>
      <c r="E47" s="3">
        <f>D47/2</f>
        <v>0.025</v>
      </c>
      <c r="F47" s="3">
        <f>D47/2</f>
        <v>0.025</v>
      </c>
      <c r="G47" s="3"/>
      <c r="H47" s="3"/>
      <c r="I47" s="3"/>
      <c r="J47" s="3"/>
    </row>
    <row r="48" spans="1:10" ht="30">
      <c r="A48" s="1" t="s">
        <v>70</v>
      </c>
      <c r="B48" s="2" t="s">
        <v>72</v>
      </c>
      <c r="C48" s="2" t="s">
        <v>9</v>
      </c>
      <c r="D48" s="3">
        <f>(19+0.013)-18.99</f>
        <v>0.02300000000000324</v>
      </c>
      <c r="E48" s="3">
        <f>D48/2</f>
        <v>0.01150000000000162</v>
      </c>
      <c r="F48" s="3">
        <f>D48/2</f>
        <v>0.01150000000000162</v>
      </c>
      <c r="G48" s="3"/>
      <c r="H48" s="3"/>
      <c r="I48" s="3"/>
      <c r="J48" s="3"/>
    </row>
    <row r="49" spans="1:10" ht="30">
      <c r="A49" s="1" t="s">
        <v>71</v>
      </c>
      <c r="B49" s="2" t="s">
        <v>81</v>
      </c>
      <c r="C49" s="2" t="s">
        <v>9</v>
      </c>
      <c r="D49" s="3">
        <f>(19+0.013)-18.99</f>
        <v>0.02300000000000324</v>
      </c>
      <c r="E49" s="3"/>
      <c r="F49" s="3"/>
      <c r="G49" s="3"/>
      <c r="H49" s="3"/>
      <c r="I49" s="3"/>
      <c r="J49" s="3">
        <f>(ATAN(D49/150)*10^3)/2</f>
        <v>0.07666666606583797</v>
      </c>
    </row>
    <row r="50" spans="1:10" ht="30">
      <c r="A50" s="1" t="s">
        <v>73</v>
      </c>
      <c r="B50" s="2" t="s">
        <v>78</v>
      </c>
      <c r="C50" s="2" t="s">
        <v>13</v>
      </c>
      <c r="D50" s="3">
        <v>0.1</v>
      </c>
      <c r="E50" s="3"/>
      <c r="F50" s="3"/>
      <c r="G50" s="3">
        <f>D50/2</f>
        <v>0.05</v>
      </c>
      <c r="H50" s="3"/>
      <c r="I50" s="3"/>
      <c r="J50" s="3"/>
    </row>
    <row r="51" spans="1:10" ht="45">
      <c r="A51" s="1" t="s">
        <v>75</v>
      </c>
      <c r="B51" s="2" t="s">
        <v>79</v>
      </c>
      <c r="C51" s="2" t="s">
        <v>80</v>
      </c>
      <c r="D51" s="3">
        <v>0.13</v>
      </c>
      <c r="E51" s="3">
        <f>D51/2</f>
        <v>0.065</v>
      </c>
      <c r="F51" s="3">
        <f>D51/2</f>
        <v>0.065</v>
      </c>
      <c r="G51" s="3"/>
      <c r="H51" s="3"/>
      <c r="I51" s="3"/>
      <c r="J51" s="3"/>
    </row>
    <row r="52" spans="1:10" ht="45">
      <c r="A52" s="1" t="s">
        <v>76</v>
      </c>
      <c r="B52" s="2" t="s">
        <v>82</v>
      </c>
      <c r="C52" s="2" t="s">
        <v>9</v>
      </c>
      <c r="D52" s="3">
        <f>(11+0.013)-10.99</f>
        <v>0.022999999999999687</v>
      </c>
      <c r="E52" s="3">
        <f>D52/2</f>
        <v>0.011499999999999844</v>
      </c>
      <c r="F52" s="3">
        <f>D52/2</f>
        <v>0.011499999999999844</v>
      </c>
      <c r="G52" s="3"/>
      <c r="H52" s="3"/>
      <c r="I52" s="3"/>
      <c r="J52" s="3"/>
    </row>
    <row r="53" spans="1:10" ht="30">
      <c r="A53" s="1" t="s">
        <v>77</v>
      </c>
      <c r="B53" s="2" t="s">
        <v>84</v>
      </c>
      <c r="C53" s="2" t="s">
        <v>10</v>
      </c>
      <c r="D53" s="3">
        <v>0.05</v>
      </c>
      <c r="E53" s="3"/>
      <c r="F53" s="3"/>
      <c r="G53" s="3"/>
      <c r="H53" s="3">
        <f>(ATAN(D53/36)*10^3)</f>
        <v>1.3888879958286515</v>
      </c>
      <c r="I53" s="3">
        <f>(ATAN(D53/36)*10^3)</f>
        <v>1.3888879958286515</v>
      </c>
      <c r="J53" s="3"/>
    </row>
    <row r="54" spans="1:10" ht="45">
      <c r="A54" s="1" t="s">
        <v>249</v>
      </c>
      <c r="B54" s="2" t="s">
        <v>252</v>
      </c>
      <c r="C54" s="2" t="s">
        <v>247</v>
      </c>
      <c r="D54" s="3">
        <v>0.05</v>
      </c>
      <c r="E54" s="3"/>
      <c r="F54" s="3"/>
      <c r="G54" s="3"/>
      <c r="H54" s="3"/>
      <c r="I54" s="3"/>
      <c r="J54" s="3"/>
    </row>
    <row r="55" spans="1:10" ht="15">
      <c r="A55" s="1" t="s">
        <v>250</v>
      </c>
      <c r="B55" s="10" t="s">
        <v>230</v>
      </c>
      <c r="C55" s="2" t="s">
        <v>247</v>
      </c>
      <c r="D55" s="3"/>
      <c r="E55" s="3"/>
      <c r="F55" s="3">
        <f>513*SIN(H53*10^-3)</f>
        <v>0.7124993127903462</v>
      </c>
      <c r="G55" s="3">
        <f>513-513*COS(H53*10^-3)</f>
        <v>0.0004947909508246084</v>
      </c>
      <c r="H55" s="3"/>
      <c r="I55" s="3"/>
      <c r="J55" s="3"/>
    </row>
    <row r="56" spans="1:10" ht="15">
      <c r="A56" s="1" t="s">
        <v>251</v>
      </c>
      <c r="B56" s="10" t="s">
        <v>231</v>
      </c>
      <c r="C56" s="2" t="s">
        <v>247</v>
      </c>
      <c r="D56" s="3"/>
      <c r="E56" s="3">
        <f>513*SIN(I53*10^-3)</f>
        <v>0.7124993127903462</v>
      </c>
      <c r="F56" s="3"/>
      <c r="G56" s="3">
        <f>513-513*COS(I53*10^-3)</f>
        <v>0.0004947909508246084</v>
      </c>
      <c r="H56" s="3"/>
      <c r="I56" s="3"/>
      <c r="J56" s="3"/>
    </row>
    <row r="57" spans="1:10" ht="30" customHeight="1">
      <c r="A57" s="26"/>
      <c r="B57" s="29" t="s">
        <v>74</v>
      </c>
      <c r="C57" s="27"/>
      <c r="D57" s="28"/>
      <c r="E57" s="28"/>
      <c r="F57" s="28"/>
      <c r="G57" s="28"/>
      <c r="H57" s="28"/>
      <c r="I57" s="28"/>
      <c r="J57" s="28"/>
    </row>
    <row r="58" spans="1:10" ht="30">
      <c r="A58" s="1" t="s">
        <v>83</v>
      </c>
      <c r="B58" s="2" t="s">
        <v>85</v>
      </c>
      <c r="C58" s="2" t="s">
        <v>10</v>
      </c>
      <c r="D58" s="3">
        <v>0.05</v>
      </c>
      <c r="E58" s="3"/>
      <c r="F58" s="3"/>
      <c r="G58" s="3"/>
      <c r="H58" s="3">
        <v>0</v>
      </c>
      <c r="I58" s="3">
        <v>0</v>
      </c>
      <c r="J58" s="3"/>
    </row>
    <row r="59" spans="1:10" ht="45">
      <c r="A59" s="1" t="s">
        <v>86</v>
      </c>
      <c r="B59" s="2" t="s">
        <v>89</v>
      </c>
      <c r="C59" s="2" t="s">
        <v>14</v>
      </c>
      <c r="D59" s="3">
        <v>0.01</v>
      </c>
      <c r="E59" s="3">
        <v>0</v>
      </c>
      <c r="F59" s="3">
        <v>0</v>
      </c>
      <c r="G59" s="3"/>
      <c r="H59" s="3"/>
      <c r="I59" s="3"/>
      <c r="J59" s="3"/>
    </row>
    <row r="60" spans="1:10" ht="45">
      <c r="A60" s="1" t="s">
        <v>92</v>
      </c>
      <c r="B60" s="2" t="s">
        <v>96</v>
      </c>
      <c r="C60" s="2" t="s">
        <v>69</v>
      </c>
      <c r="D60" s="3">
        <v>0.25</v>
      </c>
      <c r="E60" s="3">
        <f>D60*SIN(63.5*PI()/180)/2</f>
        <v>0.11186679520025314</v>
      </c>
      <c r="F60" s="3">
        <f>D60*SIN(80.3*PI()/180)/2</f>
        <v>0.12321293363610669</v>
      </c>
      <c r="G60" s="3">
        <f>(D60*COS(63.5*PI()/180)+D60*COS(80.3*PI()/180))/2</f>
        <v>0.07683589908435143</v>
      </c>
      <c r="H60" s="3"/>
      <c r="I60" s="3"/>
      <c r="J60" s="3"/>
    </row>
    <row r="61" spans="1:11" ht="45">
      <c r="A61" s="9" t="s">
        <v>87</v>
      </c>
      <c r="B61" s="11" t="s">
        <v>90</v>
      </c>
      <c r="C61" s="11" t="s">
        <v>288</v>
      </c>
      <c r="D61" s="3"/>
      <c r="E61" s="3"/>
      <c r="F61" s="3"/>
      <c r="G61" s="3"/>
      <c r="H61" s="3"/>
      <c r="I61" s="3"/>
      <c r="J61" s="3"/>
      <c r="K61" s="36"/>
    </row>
    <row r="62" spans="1:11" ht="45">
      <c r="A62" s="9" t="s">
        <v>88</v>
      </c>
      <c r="B62" s="11" t="s">
        <v>91</v>
      </c>
      <c r="C62" s="11" t="s">
        <v>288</v>
      </c>
      <c r="D62" s="3"/>
      <c r="E62" s="3"/>
      <c r="F62" s="3"/>
      <c r="G62" s="3"/>
      <c r="H62" s="3"/>
      <c r="I62" s="3"/>
      <c r="J62" s="3"/>
      <c r="K62" s="36"/>
    </row>
    <row r="63" spans="1:11" ht="45">
      <c r="A63" s="9" t="s">
        <v>225</v>
      </c>
      <c r="B63" s="11" t="s">
        <v>226</v>
      </c>
      <c r="C63" s="11" t="s">
        <v>288</v>
      </c>
      <c r="D63" s="3"/>
      <c r="E63" s="3"/>
      <c r="F63" s="3"/>
      <c r="G63" s="3"/>
      <c r="H63" s="3"/>
      <c r="I63" s="3"/>
      <c r="J63" s="3"/>
      <c r="K63" s="36"/>
    </row>
    <row r="64" spans="1:11" ht="30">
      <c r="A64" s="9" t="s">
        <v>227</v>
      </c>
      <c r="B64" s="12" t="s">
        <v>230</v>
      </c>
      <c r="C64" s="11" t="s">
        <v>288</v>
      </c>
      <c r="D64" s="3"/>
      <c r="E64" s="3"/>
      <c r="F64" s="3"/>
      <c r="G64" s="3"/>
      <c r="H64" s="3"/>
      <c r="I64" s="3"/>
      <c r="J64" s="3"/>
      <c r="K64" s="36"/>
    </row>
    <row r="65" spans="1:11" ht="30">
      <c r="A65" s="9" t="s">
        <v>228</v>
      </c>
      <c r="B65" s="12" t="s">
        <v>231</v>
      </c>
      <c r="C65" s="11" t="s">
        <v>288</v>
      </c>
      <c r="D65" s="3"/>
      <c r="E65" s="3"/>
      <c r="F65" s="3"/>
      <c r="G65" s="3"/>
      <c r="H65" s="3"/>
      <c r="I65" s="3"/>
      <c r="J65" s="3"/>
      <c r="K65" s="36"/>
    </row>
    <row r="66" spans="1:11" ht="30">
      <c r="A66" s="9" t="s">
        <v>229</v>
      </c>
      <c r="B66" s="12" t="s">
        <v>232</v>
      </c>
      <c r="C66" s="11" t="s">
        <v>288</v>
      </c>
      <c r="D66" s="3"/>
      <c r="E66" s="3"/>
      <c r="F66" s="3"/>
      <c r="G66" s="3"/>
      <c r="H66" s="3"/>
      <c r="I66" s="3"/>
      <c r="J66" s="3"/>
      <c r="K66" s="36"/>
    </row>
    <row r="67" spans="1:10" ht="45">
      <c r="A67" s="1" t="s">
        <v>93</v>
      </c>
      <c r="B67" s="2" t="s">
        <v>99</v>
      </c>
      <c r="C67" s="2" t="s">
        <v>97</v>
      </c>
      <c r="D67" s="3">
        <v>0.1</v>
      </c>
      <c r="E67" s="3">
        <f>D67*COS(63.5*PI()/180)/2</f>
        <v>0.02230989065549044</v>
      </c>
      <c r="F67" s="3"/>
      <c r="G67" s="8">
        <f>D67*SIN(63.5*PI()/180)/2</f>
        <v>0.04474671808010126</v>
      </c>
      <c r="H67" s="3"/>
      <c r="I67" s="3"/>
      <c r="J67" s="3"/>
    </row>
    <row r="68" spans="1:10" ht="45">
      <c r="A68" s="1" t="s">
        <v>94</v>
      </c>
      <c r="B68" s="2" t="s">
        <v>98</v>
      </c>
      <c r="C68" s="2" t="s">
        <v>97</v>
      </c>
      <c r="D68" s="3">
        <v>0.1</v>
      </c>
      <c r="E68" s="3"/>
      <c r="F68" s="3"/>
      <c r="G68" s="3"/>
      <c r="H68" s="3">
        <f>(ATAN(D68/35)*10^3)*SIN(63.5*PI()/180)</f>
        <v>2.5569483611954595</v>
      </c>
      <c r="I68" s="3">
        <f>(ATAN(D68/35)*10^3)*SIN(80.3*PI()/180)</f>
        <v>2.8162879626162294</v>
      </c>
      <c r="J68" s="3">
        <f>(ATAN(D68/35)*10^3)*COS(63.5*PI()/180)+(ATAN(D68/35)*10^3)*COS(80.3*PI()/180)</f>
        <v>1.7562443430422643</v>
      </c>
    </row>
    <row r="69" spans="1:10" ht="45">
      <c r="A69" s="1" t="s">
        <v>253</v>
      </c>
      <c r="B69" s="2" t="s">
        <v>226</v>
      </c>
      <c r="C69" s="2" t="s">
        <v>247</v>
      </c>
      <c r="D69" s="3">
        <v>0.1</v>
      </c>
      <c r="E69" s="3"/>
      <c r="F69" s="3"/>
      <c r="G69" s="3"/>
      <c r="H69" s="3"/>
      <c r="I69" s="3"/>
      <c r="J69" s="3"/>
    </row>
    <row r="70" spans="1:10" ht="15">
      <c r="A70" s="1" t="s">
        <v>254</v>
      </c>
      <c r="B70" s="10" t="s">
        <v>230</v>
      </c>
      <c r="C70" s="2" t="s">
        <v>247</v>
      </c>
      <c r="D70" s="3"/>
      <c r="E70" s="3"/>
      <c r="F70" s="3">
        <f>345*SIN(H68*10^-3)</f>
        <v>0.8821462233685825</v>
      </c>
      <c r="G70" s="3">
        <f>345-345*COS(H68*10^-3)</f>
        <v>0.00112780178454841</v>
      </c>
      <c r="H70" s="3"/>
      <c r="I70" s="3"/>
      <c r="J70" s="3"/>
    </row>
    <row r="71" spans="1:10" ht="15">
      <c r="A71" s="1" t="s">
        <v>255</v>
      </c>
      <c r="B71" s="10" t="s">
        <v>231</v>
      </c>
      <c r="C71" s="2" t="s">
        <v>247</v>
      </c>
      <c r="D71" s="3"/>
      <c r="E71" s="3">
        <f>345*SIN(I68*10^-3)</f>
        <v>0.9716180627068806</v>
      </c>
      <c r="F71" s="3"/>
      <c r="G71" s="3">
        <f>345-345*COS(I68*10^-3)</f>
        <v>0.0013681790314308273</v>
      </c>
      <c r="H71" s="3"/>
      <c r="I71" s="3"/>
      <c r="J71" s="3"/>
    </row>
    <row r="72" spans="1:10" ht="15">
      <c r="A72" s="1" t="s">
        <v>256</v>
      </c>
      <c r="B72" s="10" t="s">
        <v>232</v>
      </c>
      <c r="C72" s="2" t="s">
        <v>247</v>
      </c>
      <c r="D72" s="3"/>
      <c r="E72" s="3">
        <f>400*SIN(J68*10^-3)</f>
        <v>0.7024973760869713</v>
      </c>
      <c r="F72" s="3">
        <f>400-400*COS(J68*10^-3)</f>
        <v>0.0006168786799207737</v>
      </c>
      <c r="G72" s="3"/>
      <c r="H72" s="3"/>
      <c r="I72" s="3"/>
      <c r="J72" s="3"/>
    </row>
    <row r="73" spans="1:11" ht="30">
      <c r="A73" s="9" t="s">
        <v>95</v>
      </c>
      <c r="B73" s="11" t="s">
        <v>104</v>
      </c>
      <c r="C73" s="11" t="s">
        <v>288</v>
      </c>
      <c r="D73" s="3"/>
      <c r="E73" s="3"/>
      <c r="F73" s="3"/>
      <c r="G73" s="8"/>
      <c r="H73" s="3"/>
      <c r="I73" s="3"/>
      <c r="J73" s="3"/>
      <c r="K73" s="36"/>
    </row>
    <row r="74" spans="1:10" ht="30" customHeight="1">
      <c r="A74" s="26"/>
      <c r="B74" s="29" t="s">
        <v>100</v>
      </c>
      <c r="C74" s="27"/>
      <c r="D74" s="28"/>
      <c r="E74" s="28"/>
      <c r="F74" s="28"/>
      <c r="G74" s="28"/>
      <c r="H74" s="28"/>
      <c r="I74" s="28"/>
      <c r="J74" s="28"/>
    </row>
    <row r="75" spans="1:10" ht="30">
      <c r="A75" s="1" t="s">
        <v>103</v>
      </c>
      <c r="B75" s="2" t="s">
        <v>101</v>
      </c>
      <c r="C75" s="2" t="s">
        <v>102</v>
      </c>
      <c r="D75" s="3">
        <v>0.027</v>
      </c>
      <c r="E75" s="3">
        <f>D75*SIN(63.5*PI()/180)/2</f>
        <v>0.012081613881627339</v>
      </c>
      <c r="F75" s="3">
        <f>D75*SIN(80.3*PI()/180)/2</f>
        <v>0.013306996832699522</v>
      </c>
      <c r="G75" s="3">
        <f>(D75*COS(63.5*PI()/180)+D75*COS(80.3*PI()/180))/2</f>
        <v>0.008298277101109953</v>
      </c>
      <c r="H75" s="3"/>
      <c r="I75" s="3"/>
      <c r="J75" s="3"/>
    </row>
    <row r="76" spans="1:10" ht="30" customHeight="1">
      <c r="A76" s="26"/>
      <c r="B76" s="29" t="s">
        <v>74</v>
      </c>
      <c r="C76" s="27"/>
      <c r="D76" s="28"/>
      <c r="E76" s="28"/>
      <c r="F76" s="28"/>
      <c r="G76" s="28"/>
      <c r="H76" s="28"/>
      <c r="I76" s="28"/>
      <c r="J76" s="28"/>
    </row>
    <row r="77" spans="1:10" ht="30">
      <c r="A77" s="1" t="s">
        <v>106</v>
      </c>
      <c r="B77" s="2" t="s">
        <v>114</v>
      </c>
      <c r="C77" s="2" t="s">
        <v>10</v>
      </c>
      <c r="D77" s="3">
        <v>0.05</v>
      </c>
      <c r="E77" s="3"/>
      <c r="F77" s="3"/>
      <c r="G77" s="3"/>
      <c r="H77" s="3">
        <v>0</v>
      </c>
      <c r="I77" s="3">
        <v>0</v>
      </c>
      <c r="J77" s="3"/>
    </row>
    <row r="78" spans="1:10" ht="45">
      <c r="A78" s="1" t="s">
        <v>107</v>
      </c>
      <c r="B78" s="2" t="s">
        <v>115</v>
      </c>
      <c r="C78" s="2" t="s">
        <v>14</v>
      </c>
      <c r="D78" s="3">
        <v>0.01</v>
      </c>
      <c r="E78" s="3">
        <v>0</v>
      </c>
      <c r="F78" s="3">
        <v>0</v>
      </c>
      <c r="G78" s="3"/>
      <c r="H78" s="3"/>
      <c r="I78" s="3"/>
      <c r="J78" s="3"/>
    </row>
    <row r="79" spans="1:12" ht="45">
      <c r="A79" s="1" t="s">
        <v>108</v>
      </c>
      <c r="B79" s="2" t="s">
        <v>116</v>
      </c>
      <c r="C79" s="2" t="s">
        <v>69</v>
      </c>
      <c r="D79" s="3">
        <v>0.25</v>
      </c>
      <c r="E79" s="3">
        <f>D79*SIN(63.5*PI()/180)/2</f>
        <v>0.11186679520025314</v>
      </c>
      <c r="F79" s="3">
        <f>D79*SIN(80.3*PI()/180)/2</f>
        <v>0.12321293363610669</v>
      </c>
      <c r="G79" s="3">
        <f>(D79*COS(63.5*PI()/180)+D79*COS(80.3*PI()/180))/2</f>
        <v>0.07683589908435143</v>
      </c>
      <c r="H79" s="3"/>
      <c r="I79" s="3"/>
      <c r="J79" s="3"/>
      <c r="L79" s="13" t="s">
        <v>117</v>
      </c>
    </row>
    <row r="80" spans="1:12" ht="45">
      <c r="A80" s="9" t="s">
        <v>109</v>
      </c>
      <c r="B80" s="11" t="s">
        <v>118</v>
      </c>
      <c r="C80" s="11" t="s">
        <v>288</v>
      </c>
      <c r="D80" s="3"/>
      <c r="E80" s="3"/>
      <c r="F80" s="3"/>
      <c r="G80" s="3"/>
      <c r="H80" s="3"/>
      <c r="I80" s="3"/>
      <c r="J80" s="3"/>
      <c r="K80" s="36"/>
      <c r="L80" s="13" t="s">
        <v>117</v>
      </c>
    </row>
    <row r="81" spans="1:12" ht="45">
      <c r="A81" s="9" t="s">
        <v>110</v>
      </c>
      <c r="B81" s="11" t="s">
        <v>119</v>
      </c>
      <c r="C81" s="11" t="s">
        <v>288</v>
      </c>
      <c r="D81" s="3"/>
      <c r="E81" s="3"/>
      <c r="F81" s="3"/>
      <c r="G81" s="3"/>
      <c r="H81" s="3"/>
      <c r="I81" s="3"/>
      <c r="J81" s="3"/>
      <c r="K81" s="36"/>
      <c r="L81" s="13" t="s">
        <v>117</v>
      </c>
    </row>
    <row r="82" spans="1:11" ht="45">
      <c r="A82" s="9" t="s">
        <v>233</v>
      </c>
      <c r="B82" s="11" t="s">
        <v>226</v>
      </c>
      <c r="C82" s="11" t="s">
        <v>288</v>
      </c>
      <c r="D82" s="3"/>
      <c r="E82" s="3"/>
      <c r="F82" s="3"/>
      <c r="G82" s="3"/>
      <c r="H82" s="3"/>
      <c r="I82" s="3"/>
      <c r="J82" s="3"/>
      <c r="K82" s="36"/>
    </row>
    <row r="83" spans="1:11" ht="30">
      <c r="A83" s="9" t="s">
        <v>234</v>
      </c>
      <c r="B83" s="12" t="s">
        <v>230</v>
      </c>
      <c r="C83" s="11" t="s">
        <v>288</v>
      </c>
      <c r="D83" s="3"/>
      <c r="E83" s="3"/>
      <c r="F83" s="3"/>
      <c r="G83" s="3"/>
      <c r="H83" s="3"/>
      <c r="I83" s="3"/>
      <c r="J83" s="3"/>
      <c r="K83" s="36"/>
    </row>
    <row r="84" spans="1:11" ht="30">
      <c r="A84" s="9" t="s">
        <v>235</v>
      </c>
      <c r="B84" s="12" t="s">
        <v>231</v>
      </c>
      <c r="C84" s="11" t="s">
        <v>288</v>
      </c>
      <c r="D84" s="3"/>
      <c r="E84" s="3"/>
      <c r="F84" s="3"/>
      <c r="G84" s="3"/>
      <c r="H84" s="3"/>
      <c r="I84" s="3"/>
      <c r="J84" s="3"/>
      <c r="K84" s="36"/>
    </row>
    <row r="85" spans="1:11" ht="30">
      <c r="A85" s="9" t="s">
        <v>236</v>
      </c>
      <c r="B85" s="12" t="s">
        <v>232</v>
      </c>
      <c r="C85" s="11" t="s">
        <v>288</v>
      </c>
      <c r="D85" s="3"/>
      <c r="E85" s="3"/>
      <c r="F85" s="3"/>
      <c r="G85" s="3"/>
      <c r="H85" s="3"/>
      <c r="I85" s="3"/>
      <c r="J85" s="3"/>
      <c r="K85" s="36"/>
    </row>
    <row r="86" spans="1:12" ht="45">
      <c r="A86" s="1" t="s">
        <v>111</v>
      </c>
      <c r="B86" s="2" t="s">
        <v>120</v>
      </c>
      <c r="C86" s="2" t="s">
        <v>97</v>
      </c>
      <c r="D86" s="3">
        <v>0.1</v>
      </c>
      <c r="E86" s="3">
        <f>D86*COS(63.5*PI()/180)/2</f>
        <v>0.02230989065549044</v>
      </c>
      <c r="F86" s="3"/>
      <c r="G86" s="8">
        <f>D86*SIN(63.5*PI()/180)/2</f>
        <v>0.04474671808010126</v>
      </c>
      <c r="H86" s="3"/>
      <c r="I86" s="3"/>
      <c r="J86" s="3"/>
      <c r="L86" s="13" t="s">
        <v>117</v>
      </c>
    </row>
    <row r="87" spans="1:12" ht="45">
      <c r="A87" s="1" t="s">
        <v>112</v>
      </c>
      <c r="B87" s="2" t="s">
        <v>121</v>
      </c>
      <c r="C87" s="2" t="s">
        <v>97</v>
      </c>
      <c r="D87" s="3">
        <v>0.1</v>
      </c>
      <c r="E87" s="3"/>
      <c r="F87" s="3"/>
      <c r="G87" s="3"/>
      <c r="H87" s="3">
        <f>(ATAN(D87/35)*10^3)*SIN(63.5*PI()/180)</f>
        <v>2.5569483611954595</v>
      </c>
      <c r="I87" s="3">
        <f>(ATAN(D87/35)*10^3)*SIN(80.3*PI()/180)</f>
        <v>2.8162879626162294</v>
      </c>
      <c r="J87" s="3">
        <f>(ATAN(D87/35)*10^3)*COS(63.5*PI()/180)+(ATAN(D87/35)*10^3)*COS(80.3*PI()/180)</f>
        <v>1.7562443430422643</v>
      </c>
      <c r="L87" s="13" t="s">
        <v>117</v>
      </c>
    </row>
    <row r="88" spans="1:10" ht="45">
      <c r="A88" s="1" t="s">
        <v>257</v>
      </c>
      <c r="B88" s="2" t="s">
        <v>261</v>
      </c>
      <c r="C88" s="2" t="s">
        <v>247</v>
      </c>
      <c r="D88" s="3">
        <v>0.1</v>
      </c>
      <c r="E88" s="3"/>
      <c r="F88" s="3"/>
      <c r="G88" s="3"/>
      <c r="H88" s="3"/>
      <c r="I88" s="3"/>
      <c r="J88" s="3"/>
    </row>
    <row r="89" spans="1:10" ht="15">
      <c r="A89" s="1" t="s">
        <v>258</v>
      </c>
      <c r="B89" s="10" t="s">
        <v>230</v>
      </c>
      <c r="C89" s="2" t="s">
        <v>247</v>
      </c>
      <c r="D89" s="3"/>
      <c r="E89" s="3"/>
      <c r="F89" s="3">
        <f>113*SIN(H87*10^-3)</f>
        <v>0.28893484997289803</v>
      </c>
      <c r="G89" s="3">
        <f>113-113*COS(H87*10^-3)</f>
        <v>0.00036939594681939525</v>
      </c>
      <c r="H89" s="3"/>
      <c r="I89" s="3"/>
      <c r="J89" s="3"/>
    </row>
    <row r="90" spans="1:10" ht="15">
      <c r="A90" s="1" t="s">
        <v>259</v>
      </c>
      <c r="B90" s="10" t="s">
        <v>231</v>
      </c>
      <c r="C90" s="2" t="s">
        <v>247</v>
      </c>
      <c r="D90" s="3"/>
      <c r="E90" s="3">
        <f>113*SIN(I87*10^-3)</f>
        <v>0.3182401190895</v>
      </c>
      <c r="F90" s="3"/>
      <c r="G90" s="3">
        <f>113-113*COS(I87*10^-3)</f>
        <v>0.0004481282044963564</v>
      </c>
      <c r="H90" s="3"/>
      <c r="I90" s="3"/>
      <c r="J90" s="3"/>
    </row>
    <row r="91" spans="1:10" ht="15">
      <c r="A91" s="1" t="s">
        <v>260</v>
      </c>
      <c r="B91" s="10" t="s">
        <v>232</v>
      </c>
      <c r="C91" s="2" t="s">
        <v>247</v>
      </c>
      <c r="D91" s="3"/>
      <c r="E91" s="3">
        <f>400*SIN(J87*10^-3)</f>
        <v>0.7024973760869713</v>
      </c>
      <c r="F91" s="3">
        <f>400-400*COS(J87*10^-3)</f>
        <v>0.0006168786799207737</v>
      </c>
      <c r="G91" s="3"/>
      <c r="H91" s="3"/>
      <c r="I91" s="3"/>
      <c r="J91" s="3"/>
    </row>
    <row r="92" spans="1:11" ht="30" customHeight="1">
      <c r="A92" s="26"/>
      <c r="B92" s="29" t="s">
        <v>19</v>
      </c>
      <c r="C92" s="27"/>
      <c r="D92" s="28"/>
      <c r="E92" s="28"/>
      <c r="F92" s="28"/>
      <c r="G92" s="28"/>
      <c r="H92" s="28"/>
      <c r="I92" s="28"/>
      <c r="J92" s="28"/>
      <c r="K92" s="36"/>
    </row>
    <row r="93" spans="1:11" ht="30">
      <c r="A93" s="1" t="s">
        <v>113</v>
      </c>
      <c r="B93" s="2" t="s">
        <v>122</v>
      </c>
      <c r="C93" s="2" t="s">
        <v>10</v>
      </c>
      <c r="D93" s="3">
        <v>0.1</v>
      </c>
      <c r="E93" s="3"/>
      <c r="F93" s="3"/>
      <c r="G93" s="3"/>
      <c r="H93" s="3">
        <v>0</v>
      </c>
      <c r="I93" s="3">
        <v>0</v>
      </c>
      <c r="J93" s="3">
        <v>0</v>
      </c>
      <c r="K93" s="36"/>
    </row>
    <row r="94" spans="1:11" ht="45" customHeight="1">
      <c r="A94" s="1" t="s">
        <v>123</v>
      </c>
      <c r="B94" s="2" t="s">
        <v>125</v>
      </c>
      <c r="C94" s="2" t="s">
        <v>69</v>
      </c>
      <c r="D94" s="3">
        <v>0.07</v>
      </c>
      <c r="E94" s="3">
        <f>D94/2</f>
        <v>0.035</v>
      </c>
      <c r="F94" s="3">
        <f>D94*COS(23.26*PI()/180)/2</f>
        <v>0.03215528051243545</v>
      </c>
      <c r="G94" s="3">
        <f>D94*SIN(23.56*PI()/180)/2</f>
        <v>0.013989821761135416</v>
      </c>
      <c r="H94" s="3"/>
      <c r="I94" s="3"/>
      <c r="J94" s="3"/>
      <c r="K94" s="36"/>
    </row>
    <row r="95" spans="1:12" ht="45">
      <c r="A95" s="1" t="s">
        <v>124</v>
      </c>
      <c r="B95" s="2" t="s">
        <v>127</v>
      </c>
      <c r="C95" s="2" t="s">
        <v>9</v>
      </c>
      <c r="D95" s="3">
        <f>(11+0.01)-10.99</f>
        <v>0.019999999999999574</v>
      </c>
      <c r="E95" s="3">
        <f>D95/2</f>
        <v>0.009999999999999787</v>
      </c>
      <c r="F95" s="3">
        <f>D95*COS(23.26*PI()/180)/2</f>
        <v>0.009187223003552788</v>
      </c>
      <c r="G95" s="3">
        <f>D95*SIN(23.56*PI()/180)/2</f>
        <v>0.0039970919317528905</v>
      </c>
      <c r="H95" s="3"/>
      <c r="I95" s="3"/>
      <c r="J95" s="3"/>
      <c r="K95" s="36"/>
      <c r="L95" s="9"/>
    </row>
    <row r="96" spans="1:12" ht="30">
      <c r="A96" s="1" t="s">
        <v>126</v>
      </c>
      <c r="B96" s="2" t="s">
        <v>128</v>
      </c>
      <c r="C96" s="2" t="s">
        <v>9</v>
      </c>
      <c r="D96" s="3">
        <f>(11+0.01)-10.99</f>
        <v>0.019999999999999574</v>
      </c>
      <c r="E96" s="3"/>
      <c r="F96" s="3"/>
      <c r="G96" s="3"/>
      <c r="H96" s="3"/>
      <c r="I96" s="3">
        <f>(ATAN(D96/590)*10^3)*SIN(23.56*PI()/180)</f>
        <v>0.01354946417024365</v>
      </c>
      <c r="J96" s="3">
        <f>(ATAN(D96/590)*10^3)*COS(23.56*PI()/180)</f>
        <v>0.031072610244996392</v>
      </c>
      <c r="L96" s="9"/>
    </row>
    <row r="97" spans="1:10" ht="30">
      <c r="A97" s="1" t="s">
        <v>129</v>
      </c>
      <c r="B97" s="2" t="s">
        <v>130</v>
      </c>
      <c r="C97" s="2" t="s">
        <v>131</v>
      </c>
      <c r="D97" s="3">
        <v>0.25</v>
      </c>
      <c r="E97" s="3"/>
      <c r="F97" s="3"/>
      <c r="G97" s="3"/>
      <c r="H97" s="3">
        <f>(ATAN(D97/877)*10^3)</f>
        <v>0.28506270607556566</v>
      </c>
      <c r="I97" s="3">
        <f>(ATAN(D97/750)*10^3)*COS(23.56*PI()/180)</f>
        <v>0.30554732287627157</v>
      </c>
      <c r="J97" s="3">
        <f>(ATAN(D97/750)*10^3)*SIN(23.56*PI()/180)</f>
        <v>0.1332363927904181</v>
      </c>
    </row>
    <row r="98" spans="1:10" ht="30" customHeight="1">
      <c r="A98" s="23"/>
      <c r="B98" s="24" t="s">
        <v>148</v>
      </c>
      <c r="C98" s="23"/>
      <c r="D98" s="25"/>
      <c r="E98" s="25"/>
      <c r="F98" s="25"/>
      <c r="G98" s="25"/>
      <c r="H98" s="25"/>
      <c r="I98" s="25"/>
      <c r="J98" s="25"/>
    </row>
    <row r="99" spans="1:10" ht="15">
      <c r="A99" s="1" t="s">
        <v>132</v>
      </c>
      <c r="B99" s="2" t="s">
        <v>223</v>
      </c>
      <c r="C99" s="2"/>
      <c r="D99" s="3">
        <v>0</v>
      </c>
      <c r="E99" s="3"/>
      <c r="F99" s="3"/>
      <c r="G99" s="3"/>
      <c r="H99" s="3">
        <v>0</v>
      </c>
      <c r="I99" s="3">
        <v>0</v>
      </c>
      <c r="J99" s="3"/>
    </row>
    <row r="100" spans="1:10" ht="15">
      <c r="A100" s="1" t="s">
        <v>133</v>
      </c>
      <c r="B100" s="2" t="s">
        <v>223</v>
      </c>
      <c r="C100" s="2"/>
      <c r="D100" s="3">
        <v>0</v>
      </c>
      <c r="E100" s="3">
        <f>D100/2</f>
        <v>0</v>
      </c>
      <c r="F100" s="3">
        <f>D100/2</f>
        <v>0</v>
      </c>
      <c r="G100" s="3"/>
      <c r="H100" s="3"/>
      <c r="I100" s="3"/>
      <c r="J100" s="3"/>
    </row>
    <row r="101" spans="1:10" ht="45">
      <c r="A101" s="1" t="s">
        <v>134</v>
      </c>
      <c r="B101" s="2" t="s">
        <v>276</v>
      </c>
      <c r="C101" s="2" t="s">
        <v>9</v>
      </c>
      <c r="D101" s="3">
        <f>(284+0.013)-(283.99-0.013)</f>
        <v>0.03599999999994452</v>
      </c>
      <c r="E101" s="3">
        <f>D101/2</f>
        <v>0.01799999999997226</v>
      </c>
      <c r="F101" s="3">
        <f>D101/2</f>
        <v>0.01799999999997226</v>
      </c>
      <c r="G101" s="3"/>
      <c r="H101" s="3"/>
      <c r="I101" s="3"/>
      <c r="J101" s="3"/>
    </row>
    <row r="102" spans="1:10" ht="45">
      <c r="A102" s="1" t="s">
        <v>135</v>
      </c>
      <c r="B102" s="2" t="s">
        <v>277</v>
      </c>
      <c r="C102" s="2" t="s">
        <v>80</v>
      </c>
      <c r="D102" s="3">
        <v>0.05</v>
      </c>
      <c r="E102" s="3">
        <v>0</v>
      </c>
      <c r="F102" s="3">
        <v>0</v>
      </c>
      <c r="G102" s="3"/>
      <c r="H102" s="3"/>
      <c r="I102" s="3"/>
      <c r="J102" s="3"/>
    </row>
    <row r="103" spans="1:10" ht="45">
      <c r="A103" s="1" t="s">
        <v>136</v>
      </c>
      <c r="B103" s="2" t="s">
        <v>277</v>
      </c>
      <c r="C103" s="2" t="s">
        <v>80</v>
      </c>
      <c r="D103" s="3">
        <v>0.05</v>
      </c>
      <c r="E103" s="3"/>
      <c r="F103" s="3"/>
      <c r="G103" s="3"/>
      <c r="H103" s="3"/>
      <c r="I103" s="3"/>
      <c r="J103" s="3">
        <f>(ATAN(D103/150)*10^3)/2</f>
        <v>0.16666666049382758</v>
      </c>
    </row>
    <row r="104" spans="1:10" ht="30">
      <c r="A104" s="1" t="s">
        <v>137</v>
      </c>
      <c r="B104" s="2" t="s">
        <v>278</v>
      </c>
      <c r="C104" s="2" t="s">
        <v>28</v>
      </c>
      <c r="D104" s="3">
        <v>0.13</v>
      </c>
      <c r="E104" s="3"/>
      <c r="F104" s="3">
        <f>D104/2</f>
        <v>0.065</v>
      </c>
      <c r="G104" s="3"/>
      <c r="H104" s="3"/>
      <c r="I104" s="3"/>
      <c r="J104" s="3"/>
    </row>
    <row r="105" spans="1:10" ht="30">
      <c r="A105" s="1" t="s">
        <v>138</v>
      </c>
      <c r="B105" s="2" t="s">
        <v>279</v>
      </c>
      <c r="C105" s="2" t="s">
        <v>149</v>
      </c>
      <c r="D105" s="3">
        <v>0.05</v>
      </c>
      <c r="E105" s="3"/>
      <c r="F105" s="3"/>
      <c r="G105" s="3"/>
      <c r="H105" s="3">
        <f>(ATAN(D105/284)*10^3)</f>
        <v>0.17605633620916472</v>
      </c>
      <c r="I105" s="3">
        <f>(ATAN(D105/284)*10^3)</f>
        <v>0.17605633620916472</v>
      </c>
      <c r="J105" s="3"/>
    </row>
    <row r="106" spans="1:10" ht="45">
      <c r="A106" s="1" t="s">
        <v>296</v>
      </c>
      <c r="B106" s="2" t="s">
        <v>295</v>
      </c>
      <c r="C106" s="2" t="s">
        <v>247</v>
      </c>
      <c r="D106" s="3">
        <f>(25.9-0.05)-(25.3+0.05)</f>
        <v>0.49999999999999645</v>
      </c>
      <c r="E106" s="3"/>
      <c r="F106" s="3"/>
      <c r="G106" s="3"/>
      <c r="H106" s="3"/>
      <c r="I106" s="3"/>
      <c r="J106" s="3"/>
    </row>
    <row r="107" spans="1:10" ht="15">
      <c r="A107" s="1" t="s">
        <v>297</v>
      </c>
      <c r="B107" s="10" t="s">
        <v>230</v>
      </c>
      <c r="C107" s="2" t="s">
        <v>247</v>
      </c>
      <c r="D107" s="3"/>
      <c r="E107" s="3"/>
      <c r="F107" s="3">
        <f>345*SIN(H105*10^-3)</f>
        <v>0.06073943567838358</v>
      </c>
      <c r="G107" s="3">
        <f>345-345*COS(H105*10^-3)</f>
        <v>5.346781279058632E-06</v>
      </c>
      <c r="H107" s="3"/>
      <c r="I107" s="3"/>
      <c r="J107" s="3"/>
    </row>
    <row r="108" spans="1:10" ht="15">
      <c r="A108" s="1" t="s">
        <v>298</v>
      </c>
      <c r="B108" s="10" t="s">
        <v>231</v>
      </c>
      <c r="C108" s="2" t="s">
        <v>247</v>
      </c>
      <c r="D108" s="3"/>
      <c r="E108" s="3">
        <f>345*SIN(I105*10^-3)</f>
        <v>0.06073943567838358</v>
      </c>
      <c r="F108" s="3"/>
      <c r="G108" s="3">
        <f>345-345*COS(I105*10^-3)</f>
        <v>5.346781279058632E-06</v>
      </c>
      <c r="H108" s="3"/>
      <c r="I108" s="3"/>
      <c r="J108" s="3"/>
    </row>
    <row r="109" spans="1:10" ht="45">
      <c r="A109" s="1" t="s">
        <v>139</v>
      </c>
      <c r="B109" s="2" t="s">
        <v>280</v>
      </c>
      <c r="C109" s="2" t="s">
        <v>149</v>
      </c>
      <c r="D109" s="3">
        <v>0.05</v>
      </c>
      <c r="E109" s="3">
        <f>281*SIN(ATAN(D109/284))</f>
        <v>0.049471830219205176</v>
      </c>
      <c r="F109" s="3">
        <f>281*SIN(ATAN(D109/284))</f>
        <v>0.049471830219205176</v>
      </c>
      <c r="G109" s="3">
        <f>2*(281-281*COS(ATAN(D109/284)))</f>
        <v>8.709829216968501E-06</v>
      </c>
      <c r="H109" s="3"/>
      <c r="I109" s="3"/>
      <c r="J109" s="3"/>
    </row>
    <row r="110" spans="1:10" ht="15">
      <c r="A110" s="1" t="s">
        <v>282</v>
      </c>
      <c r="B110" s="2" t="s">
        <v>223</v>
      </c>
      <c r="C110" s="2"/>
      <c r="D110" s="3">
        <v>0</v>
      </c>
      <c r="E110" s="3"/>
      <c r="F110" s="3"/>
      <c r="G110" s="3">
        <f>D110/2</f>
        <v>0</v>
      </c>
      <c r="H110" s="3"/>
      <c r="I110" s="3"/>
      <c r="J110" s="3"/>
    </row>
    <row r="111" spans="1:10" ht="15">
      <c r="A111" s="1" t="s">
        <v>283</v>
      </c>
      <c r="B111" s="2" t="s">
        <v>223</v>
      </c>
      <c r="C111" s="2"/>
      <c r="D111" s="3">
        <v>0</v>
      </c>
      <c r="E111" s="3"/>
      <c r="F111" s="3"/>
      <c r="G111" s="3"/>
      <c r="H111" s="3">
        <f>(ATAN(D111/434)*10^3)</f>
        <v>0</v>
      </c>
      <c r="I111" s="3">
        <f>(ATAN(D111/376)*10^3)</f>
        <v>0</v>
      </c>
      <c r="J111" s="3"/>
    </row>
    <row r="112" spans="1:10" ht="30" customHeight="1">
      <c r="A112" s="23"/>
      <c r="B112" s="24" t="s">
        <v>145</v>
      </c>
      <c r="C112" s="23"/>
      <c r="D112" s="25"/>
      <c r="E112" s="25"/>
      <c r="F112" s="25"/>
      <c r="G112" s="25"/>
      <c r="H112" s="25"/>
      <c r="I112" s="25"/>
      <c r="J112" s="25"/>
    </row>
    <row r="113" spans="1:10" ht="15">
      <c r="A113" s="1" t="s">
        <v>140</v>
      </c>
      <c r="B113" s="2" t="s">
        <v>151</v>
      </c>
      <c r="C113" s="2" t="s">
        <v>10</v>
      </c>
      <c r="D113" s="3">
        <v>0.05</v>
      </c>
      <c r="E113" s="3"/>
      <c r="F113" s="3"/>
      <c r="G113" s="3"/>
      <c r="H113" s="3">
        <v>0</v>
      </c>
      <c r="I113" s="3">
        <v>0</v>
      </c>
      <c r="J113" s="3"/>
    </row>
    <row r="114" spans="1:10" ht="30">
      <c r="A114" s="1" t="s">
        <v>141</v>
      </c>
      <c r="B114" s="2" t="s">
        <v>152</v>
      </c>
      <c r="C114" s="2" t="s">
        <v>17</v>
      </c>
      <c r="D114" s="3">
        <v>0.01</v>
      </c>
      <c r="E114" s="3">
        <v>0</v>
      </c>
      <c r="F114" s="3">
        <v>0</v>
      </c>
      <c r="G114" s="3"/>
      <c r="H114" s="3"/>
      <c r="I114" s="3"/>
      <c r="J114" s="3"/>
    </row>
    <row r="115" spans="1:10" ht="45">
      <c r="A115" s="1" t="s">
        <v>142</v>
      </c>
      <c r="B115" s="2" t="s">
        <v>169</v>
      </c>
      <c r="C115" s="2" t="s">
        <v>153</v>
      </c>
      <c r="D115" s="3">
        <v>0.05</v>
      </c>
      <c r="E115" s="3">
        <v>0</v>
      </c>
      <c r="F115" s="3">
        <v>0</v>
      </c>
      <c r="G115" s="3"/>
      <c r="H115" s="3"/>
      <c r="I115" s="3"/>
      <c r="J115" s="3"/>
    </row>
    <row r="116" spans="1:10" ht="30">
      <c r="A116" s="1" t="s">
        <v>143</v>
      </c>
      <c r="B116" s="2" t="s">
        <v>154</v>
      </c>
      <c r="C116" s="2" t="s">
        <v>9</v>
      </c>
      <c r="D116" s="3">
        <f>(4.773+0.01)-4.765</f>
        <v>0.017999999999999794</v>
      </c>
      <c r="E116" s="3">
        <v>0</v>
      </c>
      <c r="F116" s="3">
        <v>0</v>
      </c>
      <c r="G116" s="3"/>
      <c r="H116" s="3"/>
      <c r="I116" s="3"/>
      <c r="J116" s="3"/>
    </row>
    <row r="117" spans="1:10" ht="30">
      <c r="A117" s="1" t="s">
        <v>150</v>
      </c>
      <c r="B117" s="2" t="s">
        <v>155</v>
      </c>
      <c r="C117" s="2" t="s">
        <v>9</v>
      </c>
      <c r="D117" s="3">
        <f>(4.773+0.01)-4.765</f>
        <v>0.017999999999999794</v>
      </c>
      <c r="E117" s="3"/>
      <c r="F117" s="3"/>
      <c r="G117" s="3"/>
      <c r="H117" s="3"/>
      <c r="I117" s="3"/>
      <c r="J117" s="3">
        <f>(ATAN(D117/130)*10^3)/2</f>
        <v>0.06923076878834696</v>
      </c>
    </row>
    <row r="118" spans="1:10" ht="45">
      <c r="A118" s="1" t="s">
        <v>156</v>
      </c>
      <c r="B118" s="2" t="s">
        <v>166</v>
      </c>
      <c r="C118" s="2" t="s">
        <v>80</v>
      </c>
      <c r="D118" s="3">
        <v>0.05</v>
      </c>
      <c r="E118" s="3">
        <v>0</v>
      </c>
      <c r="F118" s="3">
        <v>0</v>
      </c>
      <c r="G118" s="3"/>
      <c r="H118" s="3"/>
      <c r="I118" s="3"/>
      <c r="J118" s="3"/>
    </row>
    <row r="119" spans="1:10" ht="45">
      <c r="A119" s="1" t="s">
        <v>157</v>
      </c>
      <c r="B119" s="2" t="s">
        <v>166</v>
      </c>
      <c r="C119" s="2" t="s">
        <v>80</v>
      </c>
      <c r="D119" s="3">
        <v>0.05</v>
      </c>
      <c r="E119" s="3"/>
      <c r="F119" s="3"/>
      <c r="G119" s="3"/>
      <c r="H119" s="3"/>
      <c r="I119" s="3"/>
      <c r="J119" s="3">
        <f>(ATAN(D119/57.5)*10^3)/2</f>
        <v>0.43478249910966316</v>
      </c>
    </row>
    <row r="120" spans="1:10" ht="45">
      <c r="A120" s="1" t="s">
        <v>158</v>
      </c>
      <c r="B120" s="2" t="s">
        <v>167</v>
      </c>
      <c r="C120" s="2" t="s">
        <v>80</v>
      </c>
      <c r="D120" s="3">
        <v>0.05</v>
      </c>
      <c r="E120" s="3">
        <f>D120/2</f>
        <v>0.025</v>
      </c>
      <c r="F120" s="3">
        <f>D120/2</f>
        <v>0.025</v>
      </c>
      <c r="G120" s="3"/>
      <c r="H120" s="3"/>
      <c r="I120" s="3"/>
      <c r="J120" s="3"/>
    </row>
    <row r="121" spans="1:10" ht="45">
      <c r="A121" s="9" t="s">
        <v>215</v>
      </c>
      <c r="B121" s="11" t="s">
        <v>221</v>
      </c>
      <c r="C121" s="11" t="s">
        <v>288</v>
      </c>
      <c r="D121" s="3"/>
      <c r="E121" s="3"/>
      <c r="F121" s="3"/>
      <c r="G121" s="3"/>
      <c r="H121" s="3"/>
      <c r="I121" s="3"/>
      <c r="J121" s="3"/>
    </row>
    <row r="122" spans="1:10" ht="60">
      <c r="A122" s="9" t="s">
        <v>216</v>
      </c>
      <c r="B122" s="11" t="s">
        <v>222</v>
      </c>
      <c r="C122" s="11" t="s">
        <v>288</v>
      </c>
      <c r="D122" s="3"/>
      <c r="E122" s="3"/>
      <c r="F122" s="3"/>
      <c r="G122" s="3"/>
      <c r="H122" s="3"/>
      <c r="I122" s="3"/>
      <c r="J122" s="3"/>
    </row>
    <row r="123" spans="1:10" ht="15">
      <c r="A123" s="1" t="s">
        <v>217</v>
      </c>
      <c r="B123" s="2" t="s">
        <v>223</v>
      </c>
      <c r="C123" s="2"/>
      <c r="D123" s="3"/>
      <c r="E123" s="3"/>
      <c r="F123" s="3"/>
      <c r="G123" s="3"/>
      <c r="H123" s="3"/>
      <c r="I123" s="3"/>
      <c r="J123" s="3"/>
    </row>
    <row r="124" spans="1:10" ht="15">
      <c r="A124" s="1" t="s">
        <v>218</v>
      </c>
      <c r="B124" s="2" t="s">
        <v>223</v>
      </c>
      <c r="C124" s="2"/>
      <c r="D124" s="3"/>
      <c r="E124" s="3"/>
      <c r="F124" s="3"/>
      <c r="G124" s="3"/>
      <c r="H124" s="3"/>
      <c r="I124" s="3"/>
      <c r="J124" s="3"/>
    </row>
    <row r="125" spans="1:9" ht="45">
      <c r="A125" s="9" t="s">
        <v>219</v>
      </c>
      <c r="B125" s="11" t="s">
        <v>224</v>
      </c>
      <c r="C125" s="11" t="s">
        <v>288</v>
      </c>
      <c r="D125" s="3"/>
      <c r="E125" s="3"/>
      <c r="F125" s="3"/>
      <c r="G125" s="3"/>
      <c r="H125" s="3"/>
      <c r="I125" s="3"/>
    </row>
    <row r="126" spans="1:10" ht="30" customHeight="1">
      <c r="A126" s="23"/>
      <c r="B126" s="24" t="s">
        <v>144</v>
      </c>
      <c r="C126" s="23"/>
      <c r="D126" s="25"/>
      <c r="E126" s="25"/>
      <c r="F126" s="25"/>
      <c r="G126" s="25"/>
      <c r="H126" s="25"/>
      <c r="I126" s="25"/>
      <c r="J126" s="25"/>
    </row>
    <row r="127" spans="1:10" ht="30">
      <c r="A127" s="1" t="s">
        <v>159</v>
      </c>
      <c r="B127" s="2" t="s">
        <v>172</v>
      </c>
      <c r="C127" s="2" t="s">
        <v>10</v>
      </c>
      <c r="D127" s="3">
        <v>0.05</v>
      </c>
      <c r="E127" s="3"/>
      <c r="F127" s="3"/>
      <c r="G127" s="3"/>
      <c r="H127" s="3">
        <v>0</v>
      </c>
      <c r="I127" s="3">
        <v>0</v>
      </c>
      <c r="J127" s="3"/>
    </row>
    <row r="128" spans="1:10" ht="30">
      <c r="A128" s="1" t="s">
        <v>160</v>
      </c>
      <c r="B128" s="2" t="s">
        <v>173</v>
      </c>
      <c r="C128" s="2" t="s">
        <v>17</v>
      </c>
      <c r="D128" s="3">
        <v>0.01</v>
      </c>
      <c r="E128" s="3">
        <v>0</v>
      </c>
      <c r="F128" s="3">
        <v>0</v>
      </c>
      <c r="G128" s="3"/>
      <c r="H128" s="3"/>
      <c r="I128" s="3"/>
      <c r="J128" s="3"/>
    </row>
    <row r="129" spans="1:10" ht="30">
      <c r="A129" s="1" t="s">
        <v>164</v>
      </c>
      <c r="B129" s="2" t="s">
        <v>171</v>
      </c>
      <c r="C129" s="2" t="s">
        <v>9</v>
      </c>
      <c r="D129" s="3">
        <f>(105+0.013)-(104.995-0.01)</f>
        <v>0.028000000000005798</v>
      </c>
      <c r="E129" s="3">
        <f>D129/2</f>
        <v>0.014000000000002899</v>
      </c>
      <c r="F129" s="3">
        <f>D129/2</f>
        <v>0.014000000000002899</v>
      </c>
      <c r="G129" s="3"/>
      <c r="H129" s="3"/>
      <c r="I129" s="3"/>
      <c r="J129" s="3"/>
    </row>
    <row r="130" spans="1:10" ht="45">
      <c r="A130" s="1" t="s">
        <v>161</v>
      </c>
      <c r="B130" s="2" t="s">
        <v>174</v>
      </c>
      <c r="C130" s="2" t="s">
        <v>153</v>
      </c>
      <c r="D130" s="3">
        <v>0.05</v>
      </c>
      <c r="E130" s="3">
        <v>0</v>
      </c>
      <c r="F130" s="3">
        <v>0</v>
      </c>
      <c r="G130" s="3"/>
      <c r="H130" s="3"/>
      <c r="I130" s="3"/>
      <c r="J130" s="3"/>
    </row>
    <row r="131" spans="1:10" ht="30">
      <c r="A131" s="1" t="s">
        <v>162</v>
      </c>
      <c r="B131" s="2" t="s">
        <v>175</v>
      </c>
      <c r="C131" s="2" t="s">
        <v>9</v>
      </c>
      <c r="D131" s="3">
        <f>(4.773+0.01)-4.765</f>
        <v>0.017999999999999794</v>
      </c>
      <c r="E131" s="3">
        <v>0</v>
      </c>
      <c r="F131" s="3">
        <v>0</v>
      </c>
      <c r="G131" s="3"/>
      <c r="H131" s="3"/>
      <c r="I131" s="3"/>
      <c r="J131" s="3"/>
    </row>
    <row r="132" spans="1:10" ht="30">
      <c r="A132" s="1" t="s">
        <v>163</v>
      </c>
      <c r="B132" s="2" t="s">
        <v>176</v>
      </c>
      <c r="C132" s="2" t="s">
        <v>9</v>
      </c>
      <c r="D132" s="3">
        <f>(4.773+0.01)-4.765</f>
        <v>0.017999999999999794</v>
      </c>
      <c r="E132" s="3"/>
      <c r="F132" s="3"/>
      <c r="G132" s="3"/>
      <c r="H132" s="3"/>
      <c r="I132" s="3"/>
      <c r="J132" s="3">
        <f>(ATAN(D132/57.5)*10^3)/2</f>
        <v>0.15652173401758707</v>
      </c>
    </row>
    <row r="133" spans="1:10" ht="30">
      <c r="A133" s="1" t="s">
        <v>165</v>
      </c>
      <c r="B133" s="2" t="s">
        <v>180</v>
      </c>
      <c r="C133" s="2" t="s">
        <v>58</v>
      </c>
      <c r="D133" s="3">
        <v>0.1</v>
      </c>
      <c r="E133" s="3"/>
      <c r="F133" s="3">
        <f>D133/2</f>
        <v>0.05</v>
      </c>
      <c r="G133" s="3"/>
      <c r="H133" s="3"/>
      <c r="I133" s="3"/>
      <c r="J133" s="3"/>
    </row>
    <row r="134" spans="1:10" ht="30">
      <c r="A134" s="1" t="s">
        <v>168</v>
      </c>
      <c r="B134" s="2" t="s">
        <v>181</v>
      </c>
      <c r="C134" s="2" t="s">
        <v>149</v>
      </c>
      <c r="D134" s="3">
        <v>0.05</v>
      </c>
      <c r="E134" s="3"/>
      <c r="F134" s="3"/>
      <c r="G134" s="3"/>
      <c r="H134" s="3">
        <f>(ATAN(D134/129)*10^3)</f>
        <v>0.387596879815072</v>
      </c>
      <c r="I134" s="3">
        <f>(ATAN(D134/129)*10^3)</f>
        <v>0.387596879815072</v>
      </c>
      <c r="J134" s="3"/>
    </row>
    <row r="135" spans="1:10" ht="45">
      <c r="A135" s="1" t="s">
        <v>170</v>
      </c>
      <c r="B135" s="2" t="s">
        <v>182</v>
      </c>
      <c r="C135" s="2" t="s">
        <v>149</v>
      </c>
      <c r="D135" s="3">
        <v>0.05</v>
      </c>
      <c r="E135" s="3">
        <f>158*SIN(ATAN(D135/129))</f>
        <v>0.06124030547741248</v>
      </c>
      <c r="F135" s="3">
        <f>158*SIN(ATAN(D135/129))</f>
        <v>0.06124030547741248</v>
      </c>
      <c r="G135" s="3">
        <f>2*(158-158*COS(ATAN(D135/129)))</f>
        <v>2.373655161136412E-05</v>
      </c>
      <c r="H135" s="3"/>
      <c r="I135" s="3"/>
      <c r="J135" s="3"/>
    </row>
    <row r="136" spans="1:10" ht="45">
      <c r="A136" s="1" t="s">
        <v>177</v>
      </c>
      <c r="B136" s="2" t="s">
        <v>183</v>
      </c>
      <c r="C136" s="2" t="s">
        <v>80</v>
      </c>
      <c r="D136" s="3">
        <v>0.05</v>
      </c>
      <c r="E136" s="3">
        <v>0</v>
      </c>
      <c r="F136" s="3">
        <v>0</v>
      </c>
      <c r="G136" s="3"/>
      <c r="H136" s="3"/>
      <c r="I136" s="3"/>
      <c r="J136" s="3"/>
    </row>
    <row r="137" spans="1:10" ht="45">
      <c r="A137" s="1" t="s">
        <v>178</v>
      </c>
      <c r="B137" s="2" t="s">
        <v>183</v>
      </c>
      <c r="C137" s="2" t="s">
        <v>80</v>
      </c>
      <c r="D137" s="3">
        <v>0.05</v>
      </c>
      <c r="E137" s="3"/>
      <c r="F137" s="3"/>
      <c r="G137" s="3"/>
      <c r="H137" s="3"/>
      <c r="I137" s="3"/>
      <c r="J137" s="3">
        <f>(ATAN(D137/57.5)*10^3)/2</f>
        <v>0.43478249910966316</v>
      </c>
    </row>
    <row r="138" spans="1:10" ht="45">
      <c r="A138" s="1" t="s">
        <v>179</v>
      </c>
      <c r="B138" s="2" t="s">
        <v>184</v>
      </c>
      <c r="C138" s="2" t="s">
        <v>185</v>
      </c>
      <c r="D138" s="3">
        <v>0.05</v>
      </c>
      <c r="E138" s="3">
        <f>D138/2</f>
        <v>0.025</v>
      </c>
      <c r="F138" s="3">
        <f>D138/2</f>
        <v>0.025</v>
      </c>
      <c r="G138" s="3"/>
      <c r="H138" s="3"/>
      <c r="I138" s="3"/>
      <c r="J138" s="3"/>
    </row>
    <row r="139" spans="1:10" ht="30" customHeight="1">
      <c r="A139" s="23"/>
      <c r="B139" s="24" t="s">
        <v>146</v>
      </c>
      <c r="C139" s="23"/>
      <c r="D139" s="25"/>
      <c r="E139" s="25"/>
      <c r="F139" s="25"/>
      <c r="G139" s="25"/>
      <c r="H139" s="25"/>
      <c r="I139" s="25"/>
      <c r="J139" s="25"/>
    </row>
    <row r="140" spans="1:10" ht="30">
      <c r="A140" s="1" t="s">
        <v>186</v>
      </c>
      <c r="B140" s="2" t="s">
        <v>201</v>
      </c>
      <c r="C140" s="2" t="s">
        <v>10</v>
      </c>
      <c r="D140" s="3">
        <v>0.05</v>
      </c>
      <c r="E140" s="3"/>
      <c r="F140" s="3"/>
      <c r="G140" s="3"/>
      <c r="H140" s="3">
        <v>0</v>
      </c>
      <c r="I140" s="3">
        <v>0</v>
      </c>
      <c r="J140" s="3"/>
    </row>
    <row r="141" spans="1:10" ht="30">
      <c r="A141" s="1" t="s">
        <v>187</v>
      </c>
      <c r="B141" s="2" t="s">
        <v>202</v>
      </c>
      <c r="C141" s="2" t="s">
        <v>17</v>
      </c>
      <c r="D141" s="3">
        <v>0.01</v>
      </c>
      <c r="E141" s="3">
        <v>0</v>
      </c>
      <c r="F141" s="3">
        <v>0</v>
      </c>
      <c r="G141" s="3"/>
      <c r="H141" s="3"/>
      <c r="I141" s="3"/>
      <c r="J141" s="3"/>
    </row>
    <row r="142" spans="1:10" ht="30">
      <c r="A142" s="1" t="s">
        <v>188</v>
      </c>
      <c r="B142" s="2" t="s">
        <v>203</v>
      </c>
      <c r="C142" s="2" t="s">
        <v>9</v>
      </c>
      <c r="D142" s="3">
        <f>(105+0.013)-(104.995-0.01)</f>
        <v>0.028000000000005798</v>
      </c>
      <c r="E142" s="3">
        <f>D142/2</f>
        <v>0.014000000000002899</v>
      </c>
      <c r="F142" s="3">
        <f>D142/2</f>
        <v>0.014000000000002899</v>
      </c>
      <c r="G142" s="3"/>
      <c r="H142" s="3"/>
      <c r="I142" s="3"/>
      <c r="J142" s="3"/>
    </row>
    <row r="143" spans="1:10" ht="45">
      <c r="A143" s="1" t="s">
        <v>189</v>
      </c>
      <c r="B143" s="2" t="s">
        <v>204</v>
      </c>
      <c r="C143" s="2" t="s">
        <v>153</v>
      </c>
      <c r="D143" s="3">
        <v>0.05</v>
      </c>
      <c r="E143" s="3">
        <v>0</v>
      </c>
      <c r="F143" s="3">
        <v>0</v>
      </c>
      <c r="G143" s="3"/>
      <c r="H143" s="3"/>
      <c r="I143" s="3"/>
      <c r="J143" s="3"/>
    </row>
    <row r="144" spans="1:10" ht="45">
      <c r="A144" s="1" t="s">
        <v>190</v>
      </c>
      <c r="B144" s="2" t="s">
        <v>205</v>
      </c>
      <c r="C144" s="2" t="s">
        <v>9</v>
      </c>
      <c r="D144" s="3">
        <f>(4.773+0.01)-4.765</f>
        <v>0.017999999999999794</v>
      </c>
      <c r="E144" s="3">
        <v>0</v>
      </c>
      <c r="F144" s="3">
        <v>0</v>
      </c>
      <c r="G144" s="3"/>
      <c r="H144" s="3"/>
      <c r="I144" s="3"/>
      <c r="J144" s="3"/>
    </row>
    <row r="145" spans="1:10" ht="45">
      <c r="A145" s="1" t="s">
        <v>191</v>
      </c>
      <c r="B145" s="2" t="s">
        <v>206</v>
      </c>
      <c r="C145" s="2" t="s">
        <v>9</v>
      </c>
      <c r="D145" s="3">
        <f>(4.773+0.01)-4.765</f>
        <v>0.017999999999999794</v>
      </c>
      <c r="E145" s="3"/>
      <c r="F145" s="3"/>
      <c r="G145" s="3"/>
      <c r="H145" s="3"/>
      <c r="I145" s="3"/>
      <c r="J145" s="3">
        <f>(ATAN(D145/57.5)*10^3)/2</f>
        <v>0.15652173401758707</v>
      </c>
    </row>
    <row r="146" spans="1:10" ht="30">
      <c r="A146" s="1" t="s">
        <v>192</v>
      </c>
      <c r="B146" s="2" t="s">
        <v>207</v>
      </c>
      <c r="C146" s="2" t="s">
        <v>58</v>
      </c>
      <c r="D146" s="3">
        <v>0.1</v>
      </c>
      <c r="E146" s="3"/>
      <c r="F146" s="3">
        <f>D146/2</f>
        <v>0.05</v>
      </c>
      <c r="G146" s="3"/>
      <c r="H146" s="3"/>
      <c r="I146" s="3"/>
      <c r="J146" s="3"/>
    </row>
    <row r="147" spans="1:10" ht="30">
      <c r="A147" s="1" t="s">
        <v>193</v>
      </c>
      <c r="B147" s="2" t="s">
        <v>208</v>
      </c>
      <c r="C147" s="2" t="s">
        <v>149</v>
      </c>
      <c r="D147" s="3">
        <v>0.05</v>
      </c>
      <c r="E147" s="3"/>
      <c r="F147" s="3"/>
      <c r="G147" s="3"/>
      <c r="H147" s="3">
        <f>(ATAN(D147/105.2)*10^3)</f>
        <v>0.47528513531432776</v>
      </c>
      <c r="I147" s="3">
        <f>(ATAN(D147/105.2)*10^3)</f>
        <v>0.47528513531432776</v>
      </c>
      <c r="J147" s="3"/>
    </row>
    <row r="148" spans="1:10" ht="30">
      <c r="A148" s="1" t="s">
        <v>194</v>
      </c>
      <c r="B148" s="2" t="s">
        <v>209</v>
      </c>
      <c r="C148" s="2" t="s">
        <v>149</v>
      </c>
      <c r="D148" s="3">
        <v>0.05</v>
      </c>
      <c r="E148" s="3">
        <f>45.7*SIN(ATAN(D148/129))</f>
        <v>0.017713176964036393</v>
      </c>
      <c r="F148" s="3">
        <f>45.7*SIN(ATAN(D148/129))</f>
        <v>0.017713176964036393</v>
      </c>
      <c r="G148" s="3">
        <f>2*(45.7-45.7*COS(ATAN(D148/129)))</f>
        <v>6.86557220319628E-06</v>
      </c>
      <c r="H148" s="3"/>
      <c r="I148" s="3"/>
      <c r="J148" s="3"/>
    </row>
    <row r="149" spans="1:10" ht="45">
      <c r="A149" s="1" t="s">
        <v>195</v>
      </c>
      <c r="B149" s="2" t="s">
        <v>210</v>
      </c>
      <c r="C149" s="2" t="s">
        <v>80</v>
      </c>
      <c r="D149" s="3">
        <v>0.05</v>
      </c>
      <c r="E149" s="3">
        <f>D149/2</f>
        <v>0.025</v>
      </c>
      <c r="F149" s="3">
        <f>D149/2</f>
        <v>0.025</v>
      </c>
      <c r="G149" s="3"/>
      <c r="H149" s="3"/>
      <c r="I149" s="3"/>
      <c r="J149" s="3"/>
    </row>
    <row r="150" spans="1:10" ht="30" customHeight="1">
      <c r="A150" s="26"/>
      <c r="B150" s="29" t="s">
        <v>147</v>
      </c>
      <c r="C150" s="27"/>
      <c r="D150" s="28"/>
      <c r="E150" s="28"/>
      <c r="F150" s="28"/>
      <c r="G150" s="28"/>
      <c r="H150" s="28"/>
      <c r="I150" s="28"/>
      <c r="J150" s="28"/>
    </row>
    <row r="151" spans="1:10" ht="30">
      <c r="A151" s="1" t="s">
        <v>196</v>
      </c>
      <c r="B151" s="2" t="s">
        <v>211</v>
      </c>
      <c r="C151" s="2" t="s">
        <v>10</v>
      </c>
      <c r="D151" s="3">
        <v>0.13</v>
      </c>
      <c r="E151" s="3"/>
      <c r="F151" s="3"/>
      <c r="G151" s="3"/>
      <c r="H151" s="3">
        <v>0</v>
      </c>
      <c r="I151" s="3">
        <v>0</v>
      </c>
      <c r="J151" s="3"/>
    </row>
    <row r="152" spans="1:10" ht="45">
      <c r="A152" s="1" t="s">
        <v>197</v>
      </c>
      <c r="B152" s="2" t="s">
        <v>212</v>
      </c>
      <c r="C152" s="2" t="s">
        <v>153</v>
      </c>
      <c r="D152" s="3">
        <v>0.05</v>
      </c>
      <c r="E152" s="3">
        <f>D152/2</f>
        <v>0.025</v>
      </c>
      <c r="F152" s="3">
        <f>D152/2</f>
        <v>0.025</v>
      </c>
      <c r="G152" s="3"/>
      <c r="H152" s="3"/>
      <c r="I152" s="3"/>
      <c r="J152" s="3"/>
    </row>
    <row r="153" spans="1:10" ht="30">
      <c r="A153" s="1" t="s">
        <v>198</v>
      </c>
      <c r="B153" s="2" t="s">
        <v>213</v>
      </c>
      <c r="C153" s="2" t="s">
        <v>9</v>
      </c>
      <c r="D153" s="3">
        <f>3.1953-3.178</f>
        <v>0.017300000000000093</v>
      </c>
      <c r="E153" s="3">
        <f>D153/2</f>
        <v>0.008650000000000047</v>
      </c>
      <c r="F153" s="3">
        <f>D153/2</f>
        <v>0.008650000000000047</v>
      </c>
      <c r="G153" s="3"/>
      <c r="H153" s="3"/>
      <c r="I153" s="3"/>
      <c r="J153" s="3"/>
    </row>
    <row r="154" spans="1:10" ht="30">
      <c r="A154" s="1" t="s">
        <v>199</v>
      </c>
      <c r="B154" s="2" t="s">
        <v>214</v>
      </c>
      <c r="C154" s="2" t="s">
        <v>9</v>
      </c>
      <c r="D154" s="3">
        <f>3.1953-3.178</f>
        <v>0.017300000000000093</v>
      </c>
      <c r="E154" s="3"/>
      <c r="F154" s="3"/>
      <c r="G154" s="3"/>
      <c r="H154" s="3"/>
      <c r="I154" s="3"/>
      <c r="J154" s="3">
        <f>(ATAN(D154/88.01)*10^3)/2</f>
        <v>0.09828428461072997</v>
      </c>
    </row>
    <row r="155" spans="1:10" ht="15">
      <c r="A155" s="1" t="s">
        <v>200</v>
      </c>
      <c r="B155" s="2" t="s">
        <v>223</v>
      </c>
      <c r="C155" s="2"/>
      <c r="D155" s="3"/>
      <c r="E155" s="3"/>
      <c r="F155" s="3"/>
      <c r="G155" s="3"/>
      <c r="H155" s="3"/>
      <c r="I155" s="3"/>
      <c r="J155" s="3"/>
    </row>
    <row r="156" spans="1:10" ht="15">
      <c r="A156" s="1"/>
      <c r="B156" s="2"/>
      <c r="C156" s="2"/>
      <c r="D156" s="3"/>
      <c r="E156" s="3"/>
      <c r="F156" s="3"/>
      <c r="G156" s="3"/>
      <c r="H156" s="3"/>
      <c r="I156" s="3"/>
      <c r="J156" s="3"/>
    </row>
    <row r="157" spans="1:10" ht="30">
      <c r="A157" s="5"/>
      <c r="B157" s="6"/>
      <c r="C157" s="7"/>
      <c r="D157" s="7"/>
      <c r="E157" s="16" t="s">
        <v>1</v>
      </c>
      <c r="F157" s="16" t="s">
        <v>2</v>
      </c>
      <c r="G157" s="16" t="s">
        <v>3</v>
      </c>
      <c r="H157" s="16" t="s">
        <v>5</v>
      </c>
      <c r="I157" s="16" t="s">
        <v>6</v>
      </c>
      <c r="J157" s="16" t="s">
        <v>7</v>
      </c>
    </row>
    <row r="158" spans="2:10" ht="15">
      <c r="B158" s="21" t="s">
        <v>11</v>
      </c>
      <c r="C158" s="22"/>
      <c r="D158" s="34"/>
      <c r="E158" s="34">
        <f aca="true" t="shared" si="0" ref="E158:J158">SUM(E5:E155)</f>
        <v>4.760040460083913</v>
      </c>
      <c r="F158" s="34">
        <f t="shared" si="0"/>
        <v>3.378142738842696</v>
      </c>
      <c r="G158" s="34">
        <f t="shared" si="0"/>
        <v>0.5739804935764797</v>
      </c>
      <c r="H158" s="34">
        <f t="shared" si="0"/>
        <v>8.710973871526575</v>
      </c>
      <c r="I158" s="34">
        <f t="shared" si="0"/>
        <v>9.263687155339063</v>
      </c>
      <c r="J158" s="34">
        <f t="shared" si="0"/>
        <v>5.41120691533051</v>
      </c>
    </row>
    <row r="159" spans="2:10" ht="15">
      <c r="B159" s="30" t="s">
        <v>16</v>
      </c>
      <c r="C159" s="14"/>
      <c r="D159" s="31"/>
      <c r="E159" s="31">
        <f aca="true" t="shared" si="1" ref="E159:J159">SQRT(SUMSQ(E4:E155))</f>
        <v>1.6368217996946999</v>
      </c>
      <c r="F159" s="31">
        <f t="shared" si="1"/>
        <v>1.2336598484695143</v>
      </c>
      <c r="G159" s="31">
        <f t="shared" si="1"/>
        <v>0.17634223510925848</v>
      </c>
      <c r="H159" s="31">
        <f t="shared" si="1"/>
        <v>3.979741974924728</v>
      </c>
      <c r="I159" s="31">
        <f t="shared" si="1"/>
        <v>4.317130311699272</v>
      </c>
      <c r="J159" s="31">
        <f t="shared" si="1"/>
        <v>2.5831558725649133</v>
      </c>
    </row>
    <row r="160" spans="2:10" ht="15">
      <c r="B160" s="30"/>
      <c r="C160" s="14"/>
      <c r="D160" s="31"/>
      <c r="E160" s="41">
        <f>SQRT(E159^2+F159^2)</f>
        <v>2.049659051081819</v>
      </c>
      <c r="F160" s="41"/>
      <c r="G160" s="31"/>
      <c r="H160" s="41">
        <f>SQRT(H159^2+I159^2)</f>
        <v>5.871623311757186</v>
      </c>
      <c r="I160" s="41"/>
      <c r="J160" s="31"/>
    </row>
    <row r="161" spans="2:10" ht="15">
      <c r="B161" s="17"/>
      <c r="D161" s="20"/>
      <c r="F161" s="20"/>
      <c r="G161" s="20"/>
      <c r="H161" s="20"/>
      <c r="I161" s="20"/>
      <c r="J161" s="20"/>
    </row>
    <row r="162" spans="1:10" ht="15">
      <c r="A162" s="35"/>
      <c r="B162" s="37" t="s">
        <v>284</v>
      </c>
      <c r="C162" s="35"/>
      <c r="D162" s="35"/>
      <c r="E162" s="35"/>
      <c r="F162" s="35"/>
      <c r="G162" s="35"/>
      <c r="H162" s="35"/>
      <c r="I162" s="35"/>
      <c r="J162" s="35"/>
    </row>
    <row r="163" spans="1:10" ht="15">
      <c r="A163" s="35"/>
      <c r="B163" s="44" t="s">
        <v>290</v>
      </c>
      <c r="C163" s="44"/>
      <c r="D163" s="44"/>
      <c r="E163" s="44"/>
      <c r="F163" s="44"/>
      <c r="G163" s="44"/>
      <c r="H163" s="44"/>
      <c r="I163" s="44"/>
      <c r="J163" s="44"/>
    </row>
    <row r="164" spans="1:10" ht="45">
      <c r="A164" s="15" t="s">
        <v>12</v>
      </c>
      <c r="B164" s="15" t="s">
        <v>285</v>
      </c>
      <c r="C164" s="15" t="s">
        <v>286</v>
      </c>
      <c r="D164" s="16" t="s">
        <v>287</v>
      </c>
      <c r="E164" s="16" t="s">
        <v>1</v>
      </c>
      <c r="F164" s="16" t="s">
        <v>2</v>
      </c>
      <c r="G164" s="16" t="s">
        <v>3</v>
      </c>
      <c r="H164" s="16" t="s">
        <v>5</v>
      </c>
      <c r="I164" s="16" t="s">
        <v>6</v>
      </c>
      <c r="J164" s="16" t="s">
        <v>7</v>
      </c>
    </row>
    <row r="165" spans="1:11" ht="30">
      <c r="A165" s="1" t="s">
        <v>61</v>
      </c>
      <c r="B165" s="2" t="s">
        <v>63</v>
      </c>
      <c r="C165" s="2" t="s">
        <v>28</v>
      </c>
      <c r="D165" s="3">
        <v>5</v>
      </c>
      <c r="E165" s="3"/>
      <c r="F165" s="3"/>
      <c r="G165" s="3">
        <f>D165/2</f>
        <v>2.5</v>
      </c>
      <c r="H165" s="3"/>
      <c r="I165" s="3"/>
      <c r="J165" s="3"/>
      <c r="K165" s="36"/>
    </row>
    <row r="166" spans="1:10" ht="45">
      <c r="A166" s="1" t="s">
        <v>87</v>
      </c>
      <c r="B166" s="2" t="s">
        <v>90</v>
      </c>
      <c r="C166" s="2" t="s">
        <v>9</v>
      </c>
      <c r="D166" s="3">
        <f>(25.9-0.05)-(25.3+0.05)</f>
        <v>0.49999999999999645</v>
      </c>
      <c r="E166" s="3">
        <f>D166*SIN(63.5*PI()/180)/2</f>
        <v>0.2237335904005047</v>
      </c>
      <c r="F166" s="3">
        <f>D166*SIN(80.3*PI()/180)/2</f>
        <v>0.24642586727221164</v>
      </c>
      <c r="G166" s="3">
        <f>(D166*COS(63.5*PI()/180)+D166*COS(80.3*PI()/180))/2</f>
        <v>0.15367179816870177</v>
      </c>
      <c r="H166" s="3"/>
      <c r="I166" s="3"/>
      <c r="J166" s="3"/>
    </row>
    <row r="167" spans="1:10" ht="45">
      <c r="A167" s="1" t="s">
        <v>88</v>
      </c>
      <c r="B167" s="2" t="s">
        <v>91</v>
      </c>
      <c r="C167" s="2" t="s">
        <v>9</v>
      </c>
      <c r="D167" s="3">
        <f>(25.9-0.05)-(25.3+0.05)</f>
        <v>0.49999999999999645</v>
      </c>
      <c r="E167" s="3"/>
      <c r="F167" s="3"/>
      <c r="G167" s="3"/>
      <c r="H167" s="3">
        <f>(ATAN(D167/32)*10^3)*SIN(63.5*PI()/180)</f>
        <v>13.982211598809622</v>
      </c>
      <c r="I167" s="3">
        <f>(ATAN(D167/32)*10^3)*SIN(80.3*PI()/180)</f>
        <v>15.400363501306712</v>
      </c>
      <c r="J167" s="3">
        <f>(ATAN(D167/32)*10^3)*COS(63.5*PI()/180)+(ATAN(D167/32)*10^3)*COS(80.3*PI()/180)</f>
        <v>9.603705884833941</v>
      </c>
    </row>
    <row r="168" spans="1:10" ht="45">
      <c r="A168" s="1" t="s">
        <v>225</v>
      </c>
      <c r="B168" s="2" t="s">
        <v>226</v>
      </c>
      <c r="C168" s="2" t="s">
        <v>247</v>
      </c>
      <c r="D168" s="3">
        <f>(25.9-0.05)-(25.3+0.05)</f>
        <v>0.49999999999999645</v>
      </c>
      <c r="E168" s="3"/>
      <c r="F168" s="3"/>
      <c r="G168" s="3"/>
      <c r="H168" s="3"/>
      <c r="I168" s="3"/>
      <c r="J168" s="3"/>
    </row>
    <row r="169" spans="1:10" ht="15">
      <c r="A169" s="1" t="s">
        <v>227</v>
      </c>
      <c r="B169" s="10" t="s">
        <v>230</v>
      </c>
      <c r="C169" s="2" t="s">
        <v>247</v>
      </c>
      <c r="D169" s="3"/>
      <c r="E169" s="3"/>
      <c r="F169" s="3">
        <f>345*SIN(H167*10^-3)</f>
        <v>4.823705823787754</v>
      </c>
      <c r="G169" s="3">
        <f>345-345*COS(H167*10^-3)</f>
        <v>0.03372358718081614</v>
      </c>
      <c r="H169" s="3"/>
      <c r="I169" s="3"/>
      <c r="J169" s="3"/>
    </row>
    <row r="170" spans="1:10" ht="15">
      <c r="A170" s="1" t="s">
        <v>228</v>
      </c>
      <c r="B170" s="10" t="s">
        <v>231</v>
      </c>
      <c r="C170" s="2" t="s">
        <v>247</v>
      </c>
      <c r="D170" s="3"/>
      <c r="E170" s="3">
        <f>345*SIN(I167*10^-3)</f>
        <v>5.312915390390111</v>
      </c>
      <c r="F170" s="3"/>
      <c r="G170" s="3">
        <f>345-345*COS(I167*10^-3)</f>
        <v>0.040911222715351414</v>
      </c>
      <c r="H170" s="3"/>
      <c r="I170" s="3"/>
      <c r="J170" s="3"/>
    </row>
    <row r="171" spans="1:10" ht="15">
      <c r="A171" s="1" t="s">
        <v>229</v>
      </c>
      <c r="B171" s="10" t="s">
        <v>232</v>
      </c>
      <c r="C171" s="2" t="s">
        <v>247</v>
      </c>
      <c r="D171" s="3"/>
      <c r="E171" s="3">
        <f>400*SIN(J167*10^-3)</f>
        <v>3.8414233034726504</v>
      </c>
      <c r="F171" s="3">
        <f>400-400*COS(J167*10^-3)</f>
        <v>0.018446091568421252</v>
      </c>
      <c r="G171" s="3"/>
      <c r="H171" s="3"/>
      <c r="I171" s="3"/>
      <c r="J171" s="3"/>
    </row>
    <row r="172" spans="1:10" ht="30">
      <c r="A172" s="1" t="s">
        <v>95</v>
      </c>
      <c r="B172" s="2" t="s">
        <v>104</v>
      </c>
      <c r="C172" s="2" t="s">
        <v>105</v>
      </c>
      <c r="D172" s="3">
        <v>3</v>
      </c>
      <c r="E172" s="3">
        <f>D172*COS(63.5*PI()/180)/2</f>
        <v>0.669296719664713</v>
      </c>
      <c r="F172" s="3"/>
      <c r="G172" s="8">
        <f>D172*SIN(63.5*PI()/180)/2</f>
        <v>1.3424015424030378</v>
      </c>
      <c r="H172" s="3"/>
      <c r="I172" s="3"/>
      <c r="J172" s="3"/>
    </row>
    <row r="173" spans="1:10" ht="45">
      <c r="A173" s="1" t="s">
        <v>109</v>
      </c>
      <c r="B173" s="2" t="s">
        <v>118</v>
      </c>
      <c r="C173" s="2" t="s">
        <v>9</v>
      </c>
      <c r="D173" s="3">
        <f>(25.9-0.05)-(25.3+0.05)</f>
        <v>0.49999999999999645</v>
      </c>
      <c r="E173" s="3">
        <f>D173*SIN(63.5*PI()/180)/2</f>
        <v>0.2237335904005047</v>
      </c>
      <c r="F173" s="3">
        <f>D173*SIN(80.3*PI()/180)/2</f>
        <v>0.24642586727221164</v>
      </c>
      <c r="G173" s="3">
        <f>(D173*COS(63.5*PI()/180)+D173*COS(80.3*PI()/180))/2</f>
        <v>0.15367179816870177</v>
      </c>
      <c r="H173" s="3"/>
      <c r="I173" s="3"/>
      <c r="J173" s="3"/>
    </row>
    <row r="174" spans="1:10" ht="45">
      <c r="A174" s="1" t="s">
        <v>110</v>
      </c>
      <c r="B174" s="2" t="s">
        <v>119</v>
      </c>
      <c r="C174" s="2" t="s">
        <v>9</v>
      </c>
      <c r="D174" s="3">
        <f>(25.9-0.05)-(25.3+0.05)</f>
        <v>0.49999999999999645</v>
      </c>
      <c r="E174" s="3"/>
      <c r="F174" s="3"/>
      <c r="G174" s="3"/>
      <c r="H174" s="3">
        <f>(ATAN(D174/32)*10^3)*SIN(63.5*PI()/180)</f>
        <v>13.982211598809622</v>
      </c>
      <c r="I174" s="3">
        <f>(ATAN(D174/32)*10^3)*SIN(80.3*PI()/180)</f>
        <v>15.400363501306712</v>
      </c>
      <c r="J174" s="3">
        <f>(ATAN(D174/32)*10^3)*COS(63.5*PI()/180)+(ATAN(D174/32)*10^3)*COS(80.3*PI()/180)</f>
        <v>9.603705884833941</v>
      </c>
    </row>
    <row r="175" spans="1:10" ht="45">
      <c r="A175" s="1" t="s">
        <v>233</v>
      </c>
      <c r="B175" s="2" t="s">
        <v>226</v>
      </c>
      <c r="C175" s="2" t="s">
        <v>247</v>
      </c>
      <c r="D175" s="3">
        <f>(25.9-0.05)-(25.3+0.05)</f>
        <v>0.49999999999999645</v>
      </c>
      <c r="E175" s="3"/>
      <c r="F175" s="3"/>
      <c r="G175" s="3"/>
      <c r="H175" s="3"/>
      <c r="I175" s="3"/>
      <c r="J175" s="3"/>
    </row>
    <row r="176" spans="1:10" ht="15">
      <c r="A176" s="1" t="s">
        <v>234</v>
      </c>
      <c r="B176" s="10" t="s">
        <v>230</v>
      </c>
      <c r="C176" s="2" t="s">
        <v>247</v>
      </c>
      <c r="D176" s="3"/>
      <c r="E176" s="3"/>
      <c r="F176" s="3">
        <f>113*SIN(H174*10^-3)</f>
        <v>1.5799384292406267</v>
      </c>
      <c r="G176" s="3">
        <f>113-113*COS(H174*10^-3)</f>
        <v>0.011045696670819893</v>
      </c>
      <c r="H176" s="3"/>
      <c r="I176" s="3"/>
      <c r="J176" s="3"/>
    </row>
    <row r="177" spans="1:10" ht="15">
      <c r="A177" s="1" t="s">
        <v>235</v>
      </c>
      <c r="B177" s="10" t="s">
        <v>231</v>
      </c>
      <c r="C177" s="2" t="s">
        <v>247</v>
      </c>
      <c r="D177" s="3"/>
      <c r="E177" s="3">
        <f>113*SIN(I174*10^-3)</f>
        <v>1.7401722872871959</v>
      </c>
      <c r="F177" s="3"/>
      <c r="G177" s="3">
        <f>113-113*COS(I174*10^-3)</f>
        <v>0.013399907729962024</v>
      </c>
      <c r="H177" s="3"/>
      <c r="I177" s="3"/>
      <c r="J177" s="3"/>
    </row>
    <row r="178" spans="1:10" ht="15">
      <c r="A178" s="1" t="s">
        <v>236</v>
      </c>
      <c r="B178" s="10" t="s">
        <v>232</v>
      </c>
      <c r="C178" s="2" t="s">
        <v>247</v>
      </c>
      <c r="D178" s="3"/>
      <c r="E178" s="3">
        <f>400*SIN(J174*10^-3)</f>
        <v>3.8414233034726504</v>
      </c>
      <c r="F178" s="3">
        <f>400-400*COS(J174*10^-3)</f>
        <v>0.018446091568421252</v>
      </c>
      <c r="G178" s="3"/>
      <c r="H178" s="3"/>
      <c r="I178" s="3"/>
      <c r="J178" s="3"/>
    </row>
    <row r="179" spans="1:10" ht="45">
      <c r="A179" s="1" t="s">
        <v>215</v>
      </c>
      <c r="B179" s="2" t="s">
        <v>221</v>
      </c>
      <c r="C179" s="2" t="s">
        <v>220</v>
      </c>
      <c r="D179" s="3">
        <f>10*0.0254</f>
        <v>0.254</v>
      </c>
      <c r="E179" s="3"/>
      <c r="F179" s="3"/>
      <c r="G179" s="3"/>
      <c r="H179" s="3">
        <f>(ATAN(D179/225)*10^3)*COS(45*PI()/180)</f>
        <v>0.7982446494478965</v>
      </c>
      <c r="I179" s="3">
        <f>(ATAN(D179/225)*10^3)*COS(45*PI()/180)</f>
        <v>0.7982446494478965</v>
      </c>
      <c r="J179" s="3"/>
    </row>
    <row r="180" spans="1:10" ht="60">
      <c r="A180" s="1" t="s">
        <v>216</v>
      </c>
      <c r="B180" s="2" t="s">
        <v>301</v>
      </c>
      <c r="C180" s="2" t="s">
        <v>220</v>
      </c>
      <c r="D180" s="3">
        <f>10*0.0254</f>
        <v>0.254</v>
      </c>
      <c r="E180" s="3">
        <f>2*(281*(ATAN(D180/225)*COS(45*PI()/180)))</f>
        <v>0.44861349298971787</v>
      </c>
      <c r="F180" s="3">
        <f>2*(281*(ATAN(D180/225)*COS(45*PI()/180)))</f>
        <v>0.44861349298971787</v>
      </c>
      <c r="G180" s="3">
        <f>2*(281-281*COS(ATAN(D180/225)*COS(45*PI()/180)))</f>
        <v>0.00017905165066167683</v>
      </c>
      <c r="H180" s="18"/>
      <c r="I180" s="18"/>
      <c r="J180" s="18"/>
    </row>
    <row r="181" spans="1:10" ht="45">
      <c r="A181" s="1" t="s">
        <v>219</v>
      </c>
      <c r="B181" s="2" t="s">
        <v>302</v>
      </c>
      <c r="C181" s="2" t="s">
        <v>220</v>
      </c>
      <c r="D181" s="3">
        <f>10*0.0254</f>
        <v>0.254</v>
      </c>
      <c r="E181" s="3"/>
      <c r="F181" s="3"/>
      <c r="G181" s="3">
        <f>D181</f>
        <v>0.254</v>
      </c>
      <c r="H181" s="18"/>
      <c r="I181" s="18"/>
      <c r="J181" s="18"/>
    </row>
    <row r="183" spans="2:10" ht="15">
      <c r="B183" s="30" t="s">
        <v>289</v>
      </c>
      <c r="C183" s="14"/>
      <c r="D183" s="31"/>
      <c r="E183" s="31">
        <f aca="true" t="shared" si="2" ref="E183:J183">SUM(E165:E181)</f>
        <v>16.301311678078047</v>
      </c>
      <c r="F183" s="31">
        <f t="shared" si="2"/>
        <v>7.382001663699365</v>
      </c>
      <c r="G183" s="31">
        <f t="shared" si="2"/>
        <v>4.503004604688053</v>
      </c>
      <c r="H183" s="31">
        <f t="shared" si="2"/>
        <v>28.76266784706714</v>
      </c>
      <c r="I183" s="31">
        <f t="shared" si="2"/>
        <v>31.59897165206132</v>
      </c>
      <c r="J183" s="31">
        <f t="shared" si="2"/>
        <v>19.207411769667882</v>
      </c>
    </row>
    <row r="184" spans="5:10" ht="15">
      <c r="E184" s="41">
        <f>SQRT(E183^2+F183^2)</f>
        <v>17.89487946281572</v>
      </c>
      <c r="F184" s="41"/>
      <c r="G184" s="31"/>
      <c r="H184" s="41">
        <f>SQRT(H183^2+I183^2)</f>
        <v>42.72921800300685</v>
      </c>
      <c r="I184" s="41"/>
      <c r="J184" s="31"/>
    </row>
    <row r="186" spans="1:10" ht="15">
      <c r="A186" s="32"/>
      <c r="B186" s="33" t="s">
        <v>291</v>
      </c>
      <c r="C186" s="32"/>
      <c r="D186" s="32"/>
      <c r="E186" s="32"/>
      <c r="F186" s="32"/>
      <c r="G186" s="32"/>
      <c r="H186" s="32"/>
      <c r="I186" s="32"/>
      <c r="J186" s="32"/>
    </row>
    <row r="187" spans="1:10" ht="45">
      <c r="A187" s="15" t="s">
        <v>292</v>
      </c>
      <c r="B187" s="15" t="s">
        <v>293</v>
      </c>
      <c r="C187" s="15" t="s">
        <v>286</v>
      </c>
      <c r="D187" s="16" t="s">
        <v>287</v>
      </c>
      <c r="E187" s="16" t="s">
        <v>1</v>
      </c>
      <c r="F187" s="16" t="s">
        <v>2</v>
      </c>
      <c r="G187" s="16" t="s">
        <v>3</v>
      </c>
      <c r="H187" s="16" t="s">
        <v>5</v>
      </c>
      <c r="I187" s="16" t="s">
        <v>6</v>
      </c>
      <c r="J187" s="16" t="s">
        <v>7</v>
      </c>
    </row>
    <row r="188" spans="1:7" ht="60">
      <c r="A188" s="1" t="s">
        <v>299</v>
      </c>
      <c r="B188" s="2" t="s">
        <v>300</v>
      </c>
      <c r="C188" s="2" t="s">
        <v>220</v>
      </c>
      <c r="D188" s="3">
        <f>0.0254</f>
        <v>0.0254</v>
      </c>
      <c r="E188" s="3">
        <f>2*(281*(ATAN(D188/225)*COS(45*PI()/180)))</f>
        <v>0.04486136816534918</v>
      </c>
      <c r="F188" s="3">
        <f>2*(281*(ATAN(D188/225)*COS(45*PI()/180)))</f>
        <v>0.04486136816534918</v>
      </c>
      <c r="G188" s="3">
        <f>2*(281-281*COS(ATAN(D188/225)*COS(45*PI()/180)))</f>
        <v>1.7905181266542058E-06</v>
      </c>
    </row>
    <row r="189" spans="1:7" ht="45">
      <c r="A189" s="1" t="s">
        <v>303</v>
      </c>
      <c r="B189" s="2" t="s">
        <v>304</v>
      </c>
      <c r="C189" s="2" t="s">
        <v>220</v>
      </c>
      <c r="D189" s="3">
        <f>0.0254</f>
        <v>0.0254</v>
      </c>
      <c r="E189" s="3"/>
      <c r="F189" s="3"/>
      <c r="G189" s="3">
        <f>D189</f>
        <v>0.0254</v>
      </c>
    </row>
    <row r="191" spans="2:10" ht="15">
      <c r="B191" s="30" t="s">
        <v>294</v>
      </c>
      <c r="C191" s="14"/>
      <c r="D191" s="14"/>
      <c r="E191" s="31">
        <f aca="true" t="shared" si="3" ref="E191:J191">SUM(E188:E189)</f>
        <v>0.04486136816534918</v>
      </c>
      <c r="F191" s="31">
        <f t="shared" si="3"/>
        <v>0.04486136816534918</v>
      </c>
      <c r="G191" s="31">
        <f t="shared" si="3"/>
        <v>0.025401790518126653</v>
      </c>
      <c r="H191" s="31">
        <f t="shared" si="3"/>
        <v>0</v>
      </c>
      <c r="I191" s="31">
        <f t="shared" si="3"/>
        <v>0</v>
      </c>
      <c r="J191" s="31">
        <f t="shared" si="3"/>
        <v>0</v>
      </c>
    </row>
    <row r="192" spans="5:10" ht="15">
      <c r="E192" s="41">
        <f>SQRT(E191^2+F191^2)</f>
        <v>0.06344355528604942</v>
      </c>
      <c r="F192" s="41"/>
      <c r="G192" s="31"/>
      <c r="H192" s="41">
        <f>SQRT(H191^2+I191^2)</f>
        <v>0</v>
      </c>
      <c r="I192" s="41"/>
      <c r="J192" s="31"/>
    </row>
  </sheetData>
  <sheetProtection/>
  <mergeCells count="9">
    <mergeCell ref="E192:F192"/>
    <mergeCell ref="H192:I192"/>
    <mergeCell ref="L3:U3"/>
    <mergeCell ref="L4:U4"/>
    <mergeCell ref="B163:J163"/>
    <mergeCell ref="E160:F160"/>
    <mergeCell ref="H160:I160"/>
    <mergeCell ref="E184:F184"/>
    <mergeCell ref="H184:I184"/>
  </mergeCells>
  <printOptions gridLines="1"/>
  <pageMargins left="0.7" right="0.7" top="0.75" bottom="0.75" header="0.3" footer="0.3"/>
  <pageSetup fitToHeight="0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Jet Propulsion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 Propulsion Laboratory</dc:creator>
  <cp:keywords/>
  <dc:description/>
  <cp:lastModifiedBy>Shawn Callahan</cp:lastModifiedBy>
  <cp:lastPrinted>2014-05-12T05:52:48Z</cp:lastPrinted>
  <dcterms:created xsi:type="dcterms:W3CDTF">2008-04-10T20:15:20Z</dcterms:created>
  <dcterms:modified xsi:type="dcterms:W3CDTF">2014-10-09T18:52:41Z</dcterms:modified>
  <cp:category/>
  <cp:version/>
  <cp:contentType/>
  <cp:contentStatus/>
</cp:coreProperties>
</file>