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36" yWindow="65436" windowWidth="26920" windowHeight="15480" tabRatio="500" firstSheet="1" activeTab="3"/>
  </bookViews>
  <sheets>
    <sheet name="radiation" sheetId="1" r:id="rId1"/>
    <sheet name="wrong PT30" sheetId="2" r:id="rId2"/>
    <sheet name="Heat capacity" sheetId="3" r:id="rId3"/>
    <sheet name="PT30" sheetId="4" r:id="rId4"/>
    <sheet name="vignetting" sheetId="5" r:id="rId5"/>
  </sheets>
  <definedNames/>
  <calcPr fullCalcOnLoad="1"/>
</workbook>
</file>

<file path=xl/comments2.xml><?xml version="1.0" encoding="utf-8"?>
<comments xmlns="http://schemas.openxmlformats.org/spreadsheetml/2006/main">
  <authors>
    <author>Roger Smith</author>
  </authors>
  <commentList>
    <comment ref="D13" authorId="0">
      <text>
        <r>
          <rPr>
            <b/>
            <sz val="9"/>
            <rFont val="Verdana"/>
            <family val="0"/>
          </rPr>
          <t>Roger Smith:</t>
        </r>
        <r>
          <rPr>
            <sz val="9"/>
            <rFont val="Verdana"/>
            <family val="0"/>
          </rPr>
          <t xml:space="preserve">
placeholder.  May eway off.</t>
        </r>
      </text>
    </comment>
  </commentList>
</comments>
</file>

<file path=xl/comments3.xml><?xml version="1.0" encoding="utf-8"?>
<comments xmlns="http://schemas.openxmlformats.org/spreadsheetml/2006/main">
  <authors>
    <author>Roger Smith</author>
  </authors>
  <commentList>
    <comment ref="A8" authorId="0">
      <text>
        <r>
          <rPr>
            <b/>
            <sz val="9"/>
            <rFont val="Verdana"/>
            <family val="0"/>
          </rPr>
          <t>Roger Smith:</t>
        </r>
        <r>
          <rPr>
            <sz val="9"/>
            <rFont val="Verdana"/>
            <family val="0"/>
          </rPr>
          <t xml:space="preserve">
FPMOLY, "Focal plane"</t>
        </r>
      </text>
    </comment>
    <comment ref="C8" authorId="0">
      <text>
        <r>
          <rPr>
            <b/>
            <sz val="9"/>
            <rFont val="Verdana"/>
            <family val="0"/>
          </rPr>
          <t>Roger Smith:</t>
        </r>
        <r>
          <rPr>
            <sz val="9"/>
            <rFont val="Verdana"/>
            <family val="0"/>
          </rPr>
          <t xml:space="preserve">
Confirmed by Luppino not to be TZM</t>
        </r>
      </text>
    </comment>
  </commentList>
</comments>
</file>

<file path=xl/comments4.xml><?xml version="1.0" encoding="utf-8"?>
<comments xmlns="http://schemas.openxmlformats.org/spreadsheetml/2006/main">
  <authors>
    <author>Roger Smith</author>
  </authors>
  <commentList>
    <comment ref="D14" authorId="0">
      <text>
        <r>
          <rPr>
            <b/>
            <sz val="9"/>
            <rFont val="Verdana"/>
            <family val="0"/>
          </rPr>
          <t>Roger Smith:</t>
        </r>
        <r>
          <rPr>
            <sz val="9"/>
            <rFont val="Verdana"/>
            <family val="0"/>
          </rPr>
          <t xml:space="preserve">
placeholder.  May eway off.
Assume fiberglass conductivity =0.04 W/mK</t>
        </r>
      </text>
    </comment>
    <comment ref="D13" authorId="0">
      <text>
        <r>
          <rPr>
            <b/>
            <sz val="9"/>
            <rFont val="Verdana"/>
            <family val="0"/>
          </rPr>
          <t>Roger Smith:</t>
        </r>
        <r>
          <rPr>
            <sz val="9"/>
            <rFont val="Verdana"/>
            <family val="0"/>
          </rPr>
          <t xml:space="preserve">
Guess based on my own designs</t>
        </r>
      </text>
    </comment>
    <comment ref="J42" authorId="0">
      <text>
        <r>
          <rPr>
            <b/>
            <sz val="9"/>
            <rFont val="Verdana"/>
            <family val="0"/>
          </rPr>
          <t>Roger Smith:</t>
        </r>
        <r>
          <rPr>
            <sz val="9"/>
            <rFont val="Verdana"/>
            <family val="0"/>
          </rPr>
          <t xml:space="preserve">
Condutction from ambient + radiation from ambient - conduction to cooler</t>
        </r>
      </text>
    </comment>
    <comment ref="K42" authorId="0">
      <text>
        <r>
          <rPr>
            <b/>
            <sz val="9"/>
            <rFont val="Verdana"/>
            <family val="0"/>
          </rPr>
          <t>Roger Smith:</t>
        </r>
        <r>
          <rPr>
            <sz val="9"/>
            <rFont val="Verdana"/>
            <family val="0"/>
          </rPr>
          <t xml:space="preserve">
delta T = time increment * net heat into detector / heat capacity;   clamped at tmeperature setpoint to represent an ideal temprature servo</t>
        </r>
      </text>
    </comment>
  </commentList>
</comments>
</file>

<file path=xl/sharedStrings.xml><?xml version="1.0" encoding="utf-8"?>
<sst xmlns="http://schemas.openxmlformats.org/spreadsheetml/2006/main" count="338" uniqueCount="225">
  <si>
    <t>CCD &amp; window emissivities</t>
  </si>
  <si>
    <t>assuming radiative cooling most of area by 8C.  (12C was predicted over about 80%)</t>
  </si>
  <si>
    <t>CCD area</t>
  </si>
  <si>
    <t>m^2</t>
  </si>
  <si>
    <t>Nitrogen</t>
  </si>
  <si>
    <t>kJ/kg</t>
  </si>
  <si>
    <t>kg/l</t>
  </si>
  <si>
    <t>kJ/l</t>
  </si>
  <si>
    <t>W*hr/l</t>
  </si>
  <si>
    <t>l/w/hr</t>
  </si>
  <si>
    <t>volume</t>
  </si>
  <si>
    <t>load on LN2</t>
  </si>
  <si>
    <t>density</t>
  </si>
  <si>
    <t>inch</t>
  </si>
  <si>
    <t>tank area</t>
  </si>
  <si>
    <t>tank height</t>
  </si>
  <si>
    <t>assume 19" diameter, 16" high</t>
  </si>
  <si>
    <t>vaporization</t>
  </si>
  <si>
    <t>W/m^2/K^4</t>
  </si>
  <si>
    <t>m/pix</t>
  </si>
  <si>
    <t>T</t>
  </si>
  <si>
    <t>W/m^2</t>
  </si>
  <si>
    <t>K</t>
  </si>
  <si>
    <t>pix/side</t>
  </si>
  <si>
    <t>W</t>
  </si>
  <si>
    <t>RADIATIVE LOAD ON CCDs</t>
  </si>
  <si>
    <t>example of single large detector</t>
  </si>
  <si>
    <t>Total Black body flux</t>
  </si>
  <si>
    <t>Stefan-Boltzmann const</t>
  </si>
  <si>
    <t>exposure time (s)</t>
  </si>
  <si>
    <t>amps</t>
  </si>
  <si>
    <t>sq.deg/hr</t>
  </si>
  <si>
    <t>radiation shield</t>
  </si>
  <si>
    <t>wiring</t>
  </si>
  <si>
    <t>output FETs</t>
  </si>
  <si>
    <t>Heat capacity</t>
  </si>
  <si>
    <t>Standard  PT 30 Cryocooler</t>
  </si>
  <si>
    <t>Heat inflow model:</t>
  </si>
  <si>
    <t>Detector operating temperature</t>
  </si>
  <si>
    <t>Ambient temperature</t>
  </si>
  <si>
    <t>Detector assy backside emsissivity</t>
  </si>
  <si>
    <t>Detector assy frontside emissivity</t>
  </si>
  <si>
    <t>Radiation shield opening in X</t>
  </si>
  <si>
    <t>Ambient</t>
  </si>
  <si>
    <t>HEAT CAPACITY of FOCAL PLANE</t>
  </si>
  <si>
    <t>Component</t>
  </si>
  <si>
    <t>(inch^3)</t>
  </si>
  <si>
    <t>Volume</t>
  </si>
  <si>
    <t>(m^3)</t>
  </si>
  <si>
    <t>Material</t>
  </si>
  <si>
    <t>Specific Heat</t>
  </si>
  <si>
    <t>Density</t>
  </si>
  <si>
    <t>(kg/m^3)</t>
  </si>
  <si>
    <t>(J/K/kg)</t>
  </si>
  <si>
    <t>Heat Capacity</t>
  </si>
  <si>
    <t>Number</t>
  </si>
  <si>
    <t>MOLYFOOT</t>
  </si>
  <si>
    <t>FPMOLY</t>
  </si>
  <si>
    <t>COLDCLAMP</t>
  </si>
  <si>
    <t>CCD20</t>
  </si>
  <si>
    <t>Standoff Pad</t>
  </si>
  <si>
    <t>FPBRACKET</t>
  </si>
  <si>
    <t>From Hal's SolidWorks Model</t>
  </si>
  <si>
    <t>Moly</t>
  </si>
  <si>
    <t>Al ?</t>
  </si>
  <si>
    <t>at 240K</t>
  </si>
  <si>
    <t>(J/K/m^3)</t>
  </si>
  <si>
    <t>AlN</t>
  </si>
  <si>
    <t>TOTAL</t>
  </si>
  <si>
    <t>Resistors</t>
  </si>
  <si>
    <t>Fasteners</t>
  </si>
  <si>
    <t>SS 304</t>
  </si>
  <si>
    <t>guess</t>
  </si>
  <si>
    <t>The detector tempertaure servo has been assumed to be perfect once setpoint is reached passively</t>
  </si>
  <si>
    <t>Radiation plus conduction</t>
  </si>
  <si>
    <t>Heater power</t>
  </si>
  <si>
    <t>filter</t>
  </si>
  <si>
    <t>f number</t>
  </si>
  <si>
    <t>Outer surface</t>
  </si>
  <si>
    <t>Beam entering camera</t>
  </si>
  <si>
    <t>Beam entering primary</t>
  </si>
  <si>
    <t>area</t>
  </si>
  <si>
    <t>(sq.m)</t>
  </si>
  <si>
    <t>vignetting</t>
  </si>
  <si>
    <t>CFH shutter</t>
  </si>
  <si>
    <t>Dewar base</t>
  </si>
  <si>
    <t>(m)</t>
  </si>
  <si>
    <t>Bonn 2 blade shutter</t>
  </si>
  <si>
    <t>Corrector area</t>
  </si>
  <si>
    <t>heat capacity of cryocooler head has been neglected.</t>
  </si>
  <si>
    <t>integral = time to reach T</t>
  </si>
  <si>
    <t>(Ta -Tc)*(1/Rw + 1/Rp)</t>
  </si>
  <si>
    <t>Ew</t>
  </si>
  <si>
    <t>sigma*(Af*Ef*Ew + Ab*Eb*Ec)(Ta^4 -Td^4)</t>
  </si>
  <si>
    <t>J/K</t>
  </si>
  <si>
    <t>(J/K)</t>
  </si>
  <si>
    <t>(s)</t>
  </si>
  <si>
    <t>Detector mount mass</t>
  </si>
  <si>
    <t>Specific heat of invar</t>
  </si>
  <si>
    <t>window emissivity</t>
  </si>
  <si>
    <t>kg</t>
  </si>
  <si>
    <t>Density of invar</t>
  </si>
  <si>
    <t>kg/m^3</t>
  </si>
  <si>
    <t>Volume of detector assy</t>
  </si>
  <si>
    <t>m^3</t>
  </si>
  <si>
    <t>J/K/kg</t>
  </si>
  <si>
    <t>Room tewmp heat capacity</t>
  </si>
  <si>
    <t>(hr)</t>
  </si>
  <si>
    <t>(hr/K)</t>
  </si>
  <si>
    <t xml:space="preserve"> Detector temperature, Td</t>
  </si>
  <si>
    <t>Cooling power</t>
  </si>
  <si>
    <t>time since start cooling</t>
  </si>
  <si>
    <t>heat capacity at cooler head</t>
  </si>
  <si>
    <t>heat capacity at detector</t>
  </si>
  <si>
    <t>net heat into detector</t>
  </si>
  <si>
    <t>net heat into cooling head</t>
  </si>
  <si>
    <t>Heat spreader volume</t>
  </si>
  <si>
    <t>density of Al</t>
  </si>
  <si>
    <t>specific heat of Al</t>
  </si>
  <si>
    <t>heat capacity of spreader</t>
  </si>
  <si>
    <t>mass of Al spreader</t>
  </si>
  <si>
    <t>with allowance for getter etc</t>
  </si>
  <si>
    <t>Detector temperature setpoint</t>
  </si>
  <si>
    <t>Tsp</t>
  </si>
  <si>
    <t>detector tempertaure</t>
  </si>
  <si>
    <t>s increment</t>
  </si>
  <si>
    <t>hours</t>
  </si>
  <si>
    <t>2 source followers in series, 0.5 and 1.0mA</t>
  </si>
  <si>
    <t>Total</t>
  </si>
  <si>
    <t>CryoTiger</t>
  </si>
  <si>
    <t>heater power</t>
  </si>
  <si>
    <t>sq.m</t>
  </si>
  <si>
    <t>Power</t>
  </si>
  <si>
    <t>Radiative load on all CCDs</t>
  </si>
  <si>
    <t>based on experience, CFH desin may differ</t>
  </si>
  <si>
    <t>arbitrarily set to half frontside radiative load</t>
  </si>
  <si>
    <t>wild guess;  do the calculation for the f.g. posts</t>
  </si>
  <si>
    <t>Cooling</t>
  </si>
  <si>
    <t>Net cooling</t>
  </si>
  <si>
    <t>l</t>
  </si>
  <si>
    <t>conduction through supports</t>
  </si>
  <si>
    <t>center fill</t>
  </si>
  <si>
    <t>foldback curtain shutter</t>
  </si>
  <si>
    <t>One amp or two:</t>
  </si>
  <si>
    <t>P shift</t>
  </si>
  <si>
    <t>read</t>
  </si>
  <si>
    <t>sq.deg</t>
  </si>
  <si>
    <t>read time</t>
  </si>
  <si>
    <t>s</t>
  </si>
  <si>
    <t>active area</t>
  </si>
  <si>
    <t>conduction though focal plane supports</t>
  </si>
  <si>
    <t>FOR CFH12K ADAPTED TO P48</t>
  </si>
  <si>
    <t>CCD emissivity (wild guess)</t>
  </si>
  <si>
    <t>N2 precool tubing … doesn’t have the usual benefit of boiloff gas.</t>
  </si>
  <si>
    <t>X</t>
  </si>
  <si>
    <t>Y</t>
  </si>
  <si>
    <t>CCDs</t>
  </si>
  <si>
    <t>(mm)</t>
  </si>
  <si>
    <t>Z</t>
  </si>
  <si>
    <t>min X</t>
  </si>
  <si>
    <t>min Y</t>
  </si>
  <si>
    <t>shutter</t>
  </si>
  <si>
    <t>window</t>
  </si>
  <si>
    <t>Enclosure emissivity</t>
  </si>
  <si>
    <t>Detector assy back+side area</t>
  </si>
  <si>
    <t xml:space="preserve">Detector to Cold head Resistance </t>
  </si>
  <si>
    <t>Rd</t>
  </si>
  <si>
    <t>Td</t>
  </si>
  <si>
    <t>Ef</t>
  </si>
  <si>
    <t>Eb</t>
  </si>
  <si>
    <t>Af</t>
  </si>
  <si>
    <t>Ab</t>
  </si>
  <si>
    <t>Ea</t>
  </si>
  <si>
    <t>Ta</t>
  </si>
  <si>
    <t>Cold head temperature</t>
  </si>
  <si>
    <t>Tc</t>
  </si>
  <si>
    <t>variable</t>
  </si>
  <si>
    <t>Stephan boltzman constant</t>
  </si>
  <si>
    <t>sigma</t>
  </si>
  <si>
    <t>W/sq.m.K^4</t>
  </si>
  <si>
    <t>(Td-Tc)/Rd</t>
  </si>
  <si>
    <t>conduction from ambient =</t>
  </si>
  <si>
    <t>conduction from detector =</t>
  </si>
  <si>
    <t>radiation: amb to det. =</t>
  </si>
  <si>
    <t>heat inflow to cold head = sum of…</t>
  </si>
  <si>
    <t>Heat flow  from detector to cooler</t>
  </si>
  <si>
    <t>the radiation reduction</t>
  </si>
  <si>
    <t>Radiation shield opening in Y</t>
  </si>
  <si>
    <t>…need to add effect of f-number</t>
  </si>
  <si>
    <t>..should add effect of cracks which have emissivity =1</t>
  </si>
  <si>
    <t>Radiative load on CCD mosaic</t>
  </si>
  <si>
    <t>Radiative load single detector</t>
  </si>
  <si>
    <t>at 153K</t>
  </si>
  <si>
    <t>Additional loads:</t>
  </si>
  <si>
    <t>radiation to other surfaces</t>
  </si>
  <si>
    <t>conduction in wiring to CCDs</t>
  </si>
  <si>
    <t>There is some unphysical oscillation at small amplitude in the simulation due to the use of lookup tables which quantize.</t>
  </si>
  <si>
    <t>Room temp heat capacity at detector</t>
  </si>
  <si>
    <t>Conduction from ambient</t>
  </si>
  <si>
    <t>Conduction from detector</t>
  </si>
  <si>
    <t>Radiation from ambient</t>
  </si>
  <si>
    <t>Total heat inflow</t>
  </si>
  <si>
    <t>Cold head temperature, Tc</t>
  </si>
  <si>
    <t>(K)</t>
  </si>
  <si>
    <t>(W)</t>
  </si>
  <si>
    <t>dt/dT</t>
  </si>
  <si>
    <t>see table</t>
  </si>
  <si>
    <t>K/W</t>
  </si>
  <si>
    <t>Post thermal resistance</t>
  </si>
  <si>
    <t>Wiring thermal resistance</t>
  </si>
  <si>
    <t>Rw</t>
  </si>
  <si>
    <t>Rp</t>
  </si>
  <si>
    <t>Detector assy front surface area</t>
  </si>
  <si>
    <t>Notes:</t>
  </si>
  <si>
    <t>Peak cooling by  CryoTiger</t>
  </si>
  <si>
    <t>m</t>
  </si>
  <si>
    <t>Radiative transfer from window to CCDs should be the dominant heat source, but</t>
  </si>
  <si>
    <t>to this one must add radiation to sheild, conduction in supports and wiring, and heater power</t>
  </si>
  <si>
    <t>Beware:  holes &amp; cracks in shield have emissivity = 1.</t>
  </si>
  <si>
    <t>Number of CCDs in X</t>
  </si>
  <si>
    <t>Number of CCDs in Y</t>
  </si>
  <si>
    <t>CCD pixels in X</t>
  </si>
  <si>
    <t>CCD pixels in Y</t>
  </si>
  <si>
    <t>pixel size in X and Y</t>
  </si>
  <si>
    <t>gap in  and 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</si>
</sst>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
    <numFmt numFmtId="168" formatCode="0.000"/>
    <numFmt numFmtId="169" formatCode="0.0000000"/>
    <numFmt numFmtId="170" formatCode="0.0%"/>
    <numFmt numFmtId="171" formatCode="0.00000000"/>
    <numFmt numFmtId="172" formatCode="_(* #,##0.0_);_(* \(#,##0.0\);_(* &quot;-&quot;??_);_(@_)"/>
    <numFmt numFmtId="173" formatCode="_(* #,##0_);_(* \(#,##0\);_(* &quot;-&quot;??_);_(@_)"/>
    <numFmt numFmtId="174" formatCode="0.000000000"/>
  </numFmts>
  <fonts count="2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8"/>
      <name val="Verdana"/>
      <family val="0"/>
    </font>
    <font>
      <b/>
      <sz val="10"/>
      <color indexed="10"/>
      <name val="Verdana"/>
      <family val="0"/>
    </font>
    <font>
      <b/>
      <sz val="14"/>
      <name val="Verdana"/>
      <family val="0"/>
    </font>
    <font>
      <sz val="10"/>
      <color indexed="14"/>
      <name val="Verdana"/>
      <family val="0"/>
    </font>
    <font>
      <b/>
      <sz val="16"/>
      <name val="Verdana"/>
      <family val="0"/>
    </font>
    <font>
      <b/>
      <sz val="18"/>
      <name val="Verdana"/>
      <family val="0"/>
    </font>
    <font>
      <sz val="11.25"/>
      <name val="Verdana"/>
      <family val="0"/>
    </font>
    <font>
      <sz val="12"/>
      <name val="Verdana"/>
      <family val="0"/>
    </font>
    <font>
      <sz val="10"/>
      <color indexed="10"/>
      <name val="Verdana"/>
      <family val="0"/>
    </font>
    <font>
      <b/>
      <sz val="12"/>
      <name val="Verdana"/>
      <family val="0"/>
    </font>
    <font>
      <sz val="15.5"/>
      <name val="Verdana"/>
      <family val="0"/>
    </font>
    <font>
      <b/>
      <sz val="16.25"/>
      <name val="Verdana"/>
      <family val="0"/>
    </font>
    <font>
      <b/>
      <sz val="15.5"/>
      <name val="Verdana"/>
      <family val="0"/>
    </font>
    <font>
      <sz val="9"/>
      <name val="Verdana"/>
      <family val="0"/>
    </font>
    <font>
      <b/>
      <sz val="9"/>
      <name val="Verdana"/>
      <family val="0"/>
    </font>
    <font>
      <sz val="16"/>
      <name val="Verdana"/>
      <family val="0"/>
    </font>
    <font>
      <sz val="10"/>
      <color indexed="12"/>
      <name val="Verdana"/>
      <family val="0"/>
    </font>
    <font>
      <b/>
      <sz val="10"/>
      <color indexed="12"/>
      <name val="Verdana"/>
      <family val="0"/>
    </font>
    <font>
      <b/>
      <sz val="13.75"/>
      <name val="Verdana"/>
      <family val="0"/>
    </font>
    <font>
      <sz val="14"/>
      <name val="Verdana"/>
      <family val="0"/>
    </font>
    <font>
      <b/>
      <sz val="16"/>
      <color indexed="10"/>
      <name val="Verdana"/>
      <family val="0"/>
    </font>
    <font>
      <b/>
      <sz val="19.75"/>
      <name val="Verdana"/>
      <family val="0"/>
    </font>
    <font>
      <b/>
      <sz val="8"/>
      <name val="Verdana"/>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1" fontId="0" fillId="0" borderId="0" xfId="0" applyNumberFormat="1" applyAlignment="1">
      <alignment/>
    </xf>
    <xf numFmtId="1" fontId="0" fillId="0" borderId="0" xfId="0" applyNumberFormat="1" applyAlignment="1">
      <alignment/>
    </xf>
    <xf numFmtId="168" fontId="0" fillId="0" borderId="0" xfId="0" applyNumberFormat="1" applyAlignment="1">
      <alignment horizontal="right"/>
    </xf>
    <xf numFmtId="2" fontId="0" fillId="0" borderId="0" xfId="0" applyNumberFormat="1" applyAlignment="1">
      <alignment horizontal="right"/>
    </xf>
    <xf numFmtId="0" fontId="6" fillId="0" borderId="0" xfId="0" applyFont="1" applyAlignment="1">
      <alignment/>
    </xf>
    <xf numFmtId="0" fontId="0" fillId="0" borderId="0" xfId="0" applyAlignment="1" quotePrefix="1">
      <alignment/>
    </xf>
    <xf numFmtId="9" fontId="7" fillId="0" borderId="0" xfId="0" applyNumberFormat="1" applyFont="1" applyAlignment="1">
      <alignment/>
    </xf>
    <xf numFmtId="0" fontId="8" fillId="0" borderId="0" xfId="0" applyFont="1" applyAlignment="1">
      <alignment/>
    </xf>
    <xf numFmtId="0" fontId="1" fillId="0" borderId="0" xfId="0" applyFont="1" applyAlignment="1">
      <alignment horizontal="center"/>
    </xf>
    <xf numFmtId="164" fontId="0" fillId="0" borderId="0" xfId="0" applyNumberFormat="1" applyAlignment="1">
      <alignment/>
    </xf>
    <xf numFmtId="1" fontId="0" fillId="0" borderId="0" xfId="0" applyNumberFormat="1" applyAlignment="1">
      <alignment horizontal="right"/>
    </xf>
    <xf numFmtId="0" fontId="9" fillId="0" borderId="0" xfId="0" applyFont="1" applyAlignment="1">
      <alignment/>
    </xf>
    <xf numFmtId="2" fontId="0" fillId="0" borderId="0" xfId="0" applyNumberFormat="1" applyAlignment="1">
      <alignment/>
    </xf>
    <xf numFmtId="0" fontId="1" fillId="0" borderId="0" xfId="0" applyFont="1" applyAlignment="1">
      <alignment/>
    </xf>
    <xf numFmtId="0" fontId="0" fillId="0" borderId="0" xfId="0" applyAlignment="1">
      <alignment horizontal="left"/>
    </xf>
    <xf numFmtId="0" fontId="0" fillId="0" borderId="0" xfId="0" applyAlignment="1">
      <alignment horizontal="right"/>
    </xf>
    <xf numFmtId="168" fontId="0" fillId="0" borderId="0" xfId="0" applyNumberFormat="1" applyAlignment="1">
      <alignment/>
    </xf>
    <xf numFmtId="9" fontId="0" fillId="0" borderId="0" xfId="21" applyAlignment="1">
      <alignment/>
    </xf>
    <xf numFmtId="168" fontId="9" fillId="0" borderId="0" xfId="0" applyNumberFormat="1" applyFont="1" applyAlignment="1">
      <alignment/>
    </xf>
    <xf numFmtId="170" fontId="0" fillId="0" borderId="0" xfId="21" applyNumberFormat="1" applyAlignment="1">
      <alignment/>
    </xf>
    <xf numFmtId="170" fontId="0" fillId="0" borderId="0" xfId="0" applyNumberFormat="1" applyAlignment="1">
      <alignment/>
    </xf>
    <xf numFmtId="0" fontId="1" fillId="0" borderId="0" xfId="0" applyFont="1" applyAlignment="1">
      <alignment horizontal="right"/>
    </xf>
    <xf numFmtId="0" fontId="0" fillId="0" borderId="0" xfId="0" applyFont="1" applyAlignment="1">
      <alignment horizontal="right"/>
    </xf>
    <xf numFmtId="9" fontId="0" fillId="0" borderId="0" xfId="0" applyNumberFormat="1" applyAlignment="1">
      <alignment/>
    </xf>
    <xf numFmtId="164" fontId="1" fillId="0" borderId="0" xfId="0" applyNumberFormat="1" applyFont="1" applyAlignment="1">
      <alignment/>
    </xf>
    <xf numFmtId="0" fontId="14" fillId="0" borderId="0" xfId="0" applyFont="1" applyAlignment="1">
      <alignment/>
    </xf>
    <xf numFmtId="0" fontId="0" fillId="0" borderId="0" xfId="0" applyAlignment="1">
      <alignment horizontal="left" indent="1"/>
    </xf>
    <xf numFmtId="11" fontId="0" fillId="0" borderId="0" xfId="0" applyNumberFormat="1" applyAlignment="1">
      <alignment horizontal="left" indent="1"/>
    </xf>
    <xf numFmtId="0" fontId="8" fillId="0" borderId="0" xfId="0" applyFont="1" applyAlignment="1">
      <alignment horizontal="left"/>
    </xf>
    <xf numFmtId="0" fontId="15" fillId="0" borderId="0" xfId="0" applyFont="1" applyAlignment="1">
      <alignment/>
    </xf>
    <xf numFmtId="0" fontId="1" fillId="0" borderId="0" xfId="0" applyFont="1" applyAlignment="1">
      <alignment horizontal="center" wrapText="1"/>
    </xf>
    <xf numFmtId="166" fontId="0" fillId="0" borderId="0" xfId="0" applyNumberFormat="1" applyAlignment="1">
      <alignment/>
    </xf>
    <xf numFmtId="0" fontId="9" fillId="2" borderId="0" xfId="0" applyFont="1" applyFill="1" applyAlignment="1">
      <alignment/>
    </xf>
    <xf numFmtId="164" fontId="0" fillId="0" borderId="0" xfId="0" applyNumberFormat="1" applyFill="1" applyAlignment="1">
      <alignment/>
    </xf>
    <xf numFmtId="2" fontId="0" fillId="0" borderId="1" xfId="0" applyNumberFormat="1" applyBorder="1" applyAlignment="1">
      <alignment/>
    </xf>
    <xf numFmtId="1" fontId="0" fillId="0" borderId="1" xfId="0" applyNumberFormat="1" applyBorder="1" applyAlignment="1">
      <alignment/>
    </xf>
    <xf numFmtId="0" fontId="0" fillId="0" borderId="2" xfId="0" applyBorder="1" applyAlignment="1">
      <alignment/>
    </xf>
    <xf numFmtId="164" fontId="0" fillId="0" borderId="1" xfId="0" applyNumberFormat="1" applyBorder="1" applyAlignment="1">
      <alignment/>
    </xf>
    <xf numFmtId="164" fontId="0" fillId="0" borderId="3" xfId="0" applyNumberFormat="1" applyBorder="1" applyAlignment="1">
      <alignment/>
    </xf>
    <xf numFmtId="2" fontId="9" fillId="0" borderId="0" xfId="0" applyNumberFormat="1" applyFont="1" applyAlignment="1">
      <alignment/>
    </xf>
    <xf numFmtId="0" fontId="23" fillId="0" borderId="0" xfId="0" applyFont="1" applyAlignment="1">
      <alignment/>
    </xf>
    <xf numFmtId="164" fontId="1" fillId="0" borderId="0" xfId="0" applyNumberFormat="1" applyFont="1" applyAlignment="1">
      <alignment horizontal="center" wrapText="1"/>
    </xf>
    <xf numFmtId="164" fontId="1" fillId="0" borderId="0" xfId="0" applyNumberFormat="1" applyFont="1" applyAlignment="1">
      <alignment horizontal="center"/>
    </xf>
    <xf numFmtId="164" fontId="2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 fontId="9" fillId="0" borderId="0" xfId="0" applyNumberFormat="1" applyFont="1" applyFill="1" applyAlignment="1">
      <alignment horizontal="right"/>
    </xf>
    <xf numFmtId="0" fontId="22" fillId="0" borderId="0" xfId="0" applyFont="1" applyAlignment="1">
      <alignment/>
    </xf>
    <xf numFmtId="0" fontId="0" fillId="0" borderId="0" xfId="0" applyAlignment="1">
      <alignment horizontal="center"/>
    </xf>
    <xf numFmtId="1" fontId="1" fillId="0" borderId="0" xfId="0" applyNumberFormat="1" applyFont="1" applyAlignment="1">
      <alignment/>
    </xf>
    <xf numFmtId="2" fontId="1" fillId="0" borderId="0" xfId="0" applyNumberFormat="1" applyFont="1" applyAlignment="1">
      <alignment/>
    </xf>
    <xf numFmtId="11" fontId="1" fillId="0" borderId="0" xfId="0" applyNumberFormat="1" applyFont="1" applyAlignment="1">
      <alignment/>
    </xf>
    <xf numFmtId="164" fontId="23" fillId="0" borderId="0" xfId="0" applyNumberFormat="1" applyFont="1" applyAlignment="1">
      <alignment/>
    </xf>
    <xf numFmtId="164"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Verdana"/>
                <a:ea typeface="Verdana"/>
                <a:cs typeface="Verdana"/>
              </a:rPr>
              <a:t>Standard PT30 Cooler</a:t>
            </a:r>
          </a:p>
        </c:rich>
      </c:tx>
      <c:layout/>
      <c:spPr>
        <a:noFill/>
        <a:ln>
          <a:noFill/>
        </a:ln>
      </c:spPr>
    </c:title>
    <c:plotArea>
      <c:layout>
        <c:manualLayout>
          <c:xMode val="edge"/>
          <c:yMode val="edge"/>
          <c:x val="0.04775"/>
          <c:y val="0.10425"/>
          <c:w val="0.90575"/>
          <c:h val="0.83075"/>
        </c:manualLayout>
      </c:layout>
      <c:scatterChart>
        <c:scatterStyle val="smooth"/>
        <c:varyColors val="0"/>
        <c:ser>
          <c:idx val="0"/>
          <c:order val="0"/>
          <c:tx>
            <c:v>Cooling power</c:v>
          </c:tx>
          <c:spPr>
            <a:ln w="381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'wrong PT30'!$A$48:$A$243</c:f>
              <c:numCache/>
            </c:numRef>
          </c:xVal>
          <c:yVal>
            <c:numRef>
              <c:f>'wrong PT30'!$B$48:$B$243</c:f>
              <c:numCache/>
            </c:numRef>
          </c:yVal>
          <c:smooth val="0"/>
        </c:ser>
        <c:ser>
          <c:idx val="1"/>
          <c:order val="1"/>
          <c:tx>
            <c:v>Total Heat inflow</c:v>
          </c:tx>
          <c:spPr>
            <a:ln w="381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'wrong PT30'!$A$48:$A$243</c:f>
              <c:numCache/>
            </c:numRef>
          </c:xVal>
          <c:yVal>
            <c:numRef>
              <c:f>'wrong PT30'!$F$48:$F$243</c:f>
              <c:numCache/>
            </c:numRef>
          </c:yVal>
          <c:smooth val="0"/>
        </c:ser>
        <c:ser>
          <c:idx val="2"/>
          <c:order val="2"/>
          <c:tx>
            <c:v>conduction</c:v>
          </c:tx>
          <c:spPr>
            <a:ln w="3175">
              <a:solidFill>
                <a:srgbClr val="1FB714"/>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'wrong PT30'!$A$48:$A$243</c:f>
              <c:numCache/>
            </c:numRef>
          </c:xVal>
          <c:yVal>
            <c:numRef>
              <c:f>'wrong PT30'!$C$48:$C$243</c:f>
              <c:numCache/>
            </c:numRef>
          </c:yVal>
          <c:smooth val="0"/>
        </c:ser>
        <c:ser>
          <c:idx val="3"/>
          <c:order val="3"/>
          <c:tx>
            <c:v>CCD heater</c:v>
          </c:tx>
          <c:spPr>
            <a:ln w="25400">
              <a:solidFill>
                <a:srgbClr val="006411"/>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'wrong PT30'!$A$48:$A$243</c:f>
              <c:numCache/>
            </c:numRef>
          </c:xVal>
          <c:yVal>
            <c:numRef>
              <c:f>'wrong PT30'!$D$48:$D$243</c:f>
              <c:numCache/>
            </c:numRef>
          </c:yVal>
          <c:smooth val="0"/>
        </c:ser>
        <c:ser>
          <c:idx val="4"/>
          <c:order val="4"/>
          <c:tx>
            <c:v>radiation</c:v>
          </c:tx>
          <c:spPr>
            <a:ln w="127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'wrong PT30'!$A$48:$A$243</c:f>
              <c:numCache/>
            </c:numRef>
          </c:xVal>
          <c:yVal>
            <c:numRef>
              <c:f>'wrong PT30'!$E$48:$E$243</c:f>
              <c:numCache/>
            </c:numRef>
          </c:yVal>
          <c:smooth val="0"/>
        </c:ser>
        <c:axId val="24837830"/>
        <c:axId val="22213879"/>
      </c:scatterChart>
      <c:scatterChart>
        <c:scatterStyle val="lineMarker"/>
        <c:varyColors val="0"/>
        <c:ser>
          <c:idx val="5"/>
          <c:order val="5"/>
          <c:tx>
            <c:v>cooling time</c:v>
          </c:tx>
          <c:spPr>
            <a:ln w="381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'wrong PT30'!$A$67:$A$243</c:f>
              <c:numCache/>
            </c:numRef>
          </c:xVal>
          <c:yVal>
            <c:numRef>
              <c:f>'wrong PT30'!$J$67:$J$243</c:f>
              <c:numCache/>
            </c:numRef>
          </c:yVal>
          <c:smooth val="0"/>
        </c:ser>
        <c:axId val="65707184"/>
        <c:axId val="54493745"/>
      </c:scatterChart>
      <c:valAx>
        <c:axId val="24837830"/>
        <c:scaling>
          <c:orientation val="minMax"/>
          <c:max val="300"/>
          <c:min val="100"/>
        </c:scaling>
        <c:axPos val="b"/>
        <c:title>
          <c:tx>
            <c:rich>
              <a:bodyPr vert="horz" rot="0" anchor="ctr"/>
              <a:lstStyle/>
              <a:p>
                <a:pPr algn="ctr">
                  <a:defRPr/>
                </a:pPr>
                <a:r>
                  <a:rPr lang="en-US" cap="none" sz="1550" b="1" i="0" u="none" baseline="0">
                    <a:latin typeface="Verdana"/>
                    <a:ea typeface="Verdana"/>
                    <a:cs typeface="Verdana"/>
                  </a:rPr>
                  <a:t>Cold head temperature (K)</a:t>
                </a:r>
              </a:p>
            </c:rich>
          </c:tx>
          <c:layout/>
          <c:overlay val="0"/>
          <c:spPr>
            <a:noFill/>
            <a:ln>
              <a:noFill/>
            </a:ln>
          </c:spPr>
        </c:title>
        <c:majorGridlines>
          <c:spPr>
            <a:ln w="3175">
              <a:solidFill>
                <a:srgbClr val="808080"/>
              </a:solidFill>
            </a:ln>
          </c:spPr>
        </c:majorGridlines>
        <c:delete val="0"/>
        <c:numFmt formatCode="General" sourceLinked="1"/>
        <c:majorTickMark val="out"/>
        <c:minorTickMark val="out"/>
        <c:tickLblPos val="nextTo"/>
        <c:crossAx val="22213879"/>
        <c:crosses val="autoZero"/>
        <c:crossBetween val="midCat"/>
        <c:dispUnits/>
        <c:majorUnit val="20"/>
        <c:minorUnit val="10"/>
      </c:valAx>
      <c:valAx>
        <c:axId val="22213879"/>
        <c:scaling>
          <c:orientation val="minMax"/>
          <c:min val="0"/>
        </c:scaling>
        <c:axPos val="l"/>
        <c:title>
          <c:tx>
            <c:rich>
              <a:bodyPr vert="horz" rot="-5400000" anchor="ctr"/>
              <a:lstStyle/>
              <a:p>
                <a:pPr algn="ctr">
                  <a:defRPr/>
                </a:pPr>
                <a:r>
                  <a:rPr lang="en-US" cap="none" sz="1550" b="1" i="0" u="none" baseline="0">
                    <a:latin typeface="Verdana"/>
                    <a:ea typeface="Verdana"/>
                    <a:cs typeface="Verdana"/>
                  </a:rPr>
                  <a:t>Heat flow (W)</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4837830"/>
        <c:crosses val="autoZero"/>
        <c:crossBetween val="midCat"/>
        <c:dispUnits/>
      </c:valAx>
      <c:valAx>
        <c:axId val="65707184"/>
        <c:scaling>
          <c:orientation val="minMax"/>
        </c:scaling>
        <c:axPos val="b"/>
        <c:delete val="1"/>
        <c:majorTickMark val="in"/>
        <c:minorTickMark val="none"/>
        <c:tickLblPos val="nextTo"/>
        <c:crossAx val="54493745"/>
        <c:crosses val="max"/>
        <c:crossBetween val="midCat"/>
        <c:dispUnits/>
      </c:valAx>
      <c:valAx>
        <c:axId val="54493745"/>
        <c:scaling>
          <c:orientation val="minMax"/>
          <c:max val="35"/>
        </c:scaling>
        <c:axPos val="l"/>
        <c:title>
          <c:tx>
            <c:rich>
              <a:bodyPr vert="horz" rot="-5400000" anchor="ctr"/>
              <a:lstStyle/>
              <a:p>
                <a:pPr algn="ctr" rtl="1">
                  <a:defRPr/>
                </a:pPr>
                <a:r>
                  <a:rPr lang="en-US" cap="none" sz="1550" b="1" i="0" u="none" baseline="0">
                    <a:latin typeface="Verdana"/>
                    <a:ea typeface="Verdana"/>
                    <a:cs typeface="Verdana"/>
                  </a:rPr>
                  <a:t>Cooling time (hr)</a:t>
                </a:r>
              </a:p>
            </c:rich>
          </c:tx>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Verdana"/>
                <a:ea typeface="Verdana"/>
                <a:cs typeface="Verdana"/>
              </a:defRPr>
            </a:pPr>
          </a:p>
        </c:txPr>
        <c:crossAx val="65707184"/>
        <c:crosses val="max"/>
        <c:crossBetween val="midCat"/>
        <c:dispUnits/>
      </c:valAx>
      <c:spPr>
        <a:solidFill>
          <a:srgbClr val="CDCDCD"/>
        </a:solidFill>
        <a:ln w="12700">
          <a:solidFill>
            <a:srgbClr val="808080"/>
          </a:solidFill>
        </a:ln>
      </c:spPr>
    </c:plotArea>
    <c:legend>
      <c:legendPos val="r"/>
      <c:layout>
        <c:manualLayout>
          <c:xMode val="edge"/>
          <c:yMode val="edge"/>
          <c:x val="0.618"/>
          <c:y val="0.16175"/>
          <c:w val="0.24825"/>
          <c:h val="0.29"/>
        </c:manualLayout>
      </c:layout>
      <c:overlay val="0"/>
      <c:spPr>
        <a:ln w="3175">
          <a:noFill/>
        </a:ln>
      </c:spPr>
      <c:txPr>
        <a:bodyPr vert="horz" rot="0"/>
        <a:lstStyle/>
        <a:p>
          <a:pPr>
            <a:defRPr lang="en-US" cap="none" sz="1600" b="0" i="0" u="none" baseline="0">
              <a:latin typeface="Verdana"/>
              <a:ea typeface="Verdana"/>
              <a:cs typeface="Verdana"/>
            </a:defRPr>
          </a:pPr>
        </a:p>
      </c:txPr>
    </c:legend>
    <c:plotVisOnly val="1"/>
    <c:dispBlanksAs val="gap"/>
    <c:showDLblsOverMax val="0"/>
  </c:chart>
  <c:txPr>
    <a:bodyPr vert="horz" rot="0"/>
    <a:lstStyle/>
    <a:p>
      <a:pPr>
        <a:defRPr lang="en-US" cap="none" sz="1200" b="0" i="0" u="none" baseline="0">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Verdana"/>
                <a:ea typeface="Verdana"/>
                <a:cs typeface="Verdana"/>
              </a:rPr>
              <a:t>Standard PT30 Cooler</a:t>
            </a:r>
          </a:p>
        </c:rich>
      </c:tx>
      <c:layout>
        <c:manualLayout>
          <c:xMode val="factor"/>
          <c:yMode val="factor"/>
          <c:x val="-0.2315"/>
          <c:y val="0.02875"/>
        </c:manualLayout>
      </c:layout>
      <c:spPr>
        <a:noFill/>
        <a:ln>
          <a:noFill/>
        </a:ln>
      </c:spPr>
    </c:title>
    <c:plotArea>
      <c:layout>
        <c:manualLayout>
          <c:xMode val="edge"/>
          <c:yMode val="edge"/>
          <c:x val="0.04125"/>
          <c:y val="0.123"/>
          <c:w val="0.91825"/>
          <c:h val="0.80675"/>
        </c:manualLayout>
      </c:layout>
      <c:scatterChart>
        <c:scatterStyle val="smooth"/>
        <c:varyColors val="0"/>
        <c:ser>
          <c:idx val="0"/>
          <c:order val="0"/>
          <c:tx>
            <c:v>Watts into Cooler vs Tc</c:v>
          </c:tx>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PT30!$A$48:$A$255</c:f>
              <c:numCache/>
            </c:numRef>
          </c:xVal>
          <c:yVal>
            <c:numRef>
              <c:f>PT30!$B$48:$B$255</c:f>
              <c:numCache/>
            </c:numRef>
          </c:yVal>
          <c:smooth val="0"/>
        </c:ser>
        <c:ser>
          <c:idx val="4"/>
          <c:order val="1"/>
          <c:tx>
            <c:v>Watts thru heat link vs Tc</c:v>
          </c:tx>
          <c:spPr>
            <a:ln w="25400">
              <a:solidFill>
                <a:srgbClr val="DD080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PT30!$N$44:$N$1540</c:f>
              <c:numCache/>
            </c:numRef>
          </c:xVal>
          <c:yVal>
            <c:numRef>
              <c:f>PT30!$L$44:$L$1540</c:f>
              <c:numCache/>
            </c:numRef>
          </c:yVal>
          <c:smooth val="0"/>
        </c:ser>
        <c:ser>
          <c:idx val="3"/>
          <c:order val="4"/>
          <c:tx>
            <c:v>Radiation+Conduction vs Td</c:v>
          </c:tx>
          <c:spPr>
            <a:ln w="25400">
              <a:solidFill>
                <a:srgbClr val="FCF305"/>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PT30!$K$44:$K$1662</c:f>
              <c:numCache/>
            </c:numRef>
          </c:xVal>
          <c:yVal>
            <c:numRef>
              <c:f>PT30!$P$44:$P$1662</c:f>
              <c:numCache/>
            </c:numRef>
          </c:yVal>
          <c:smooth val="0"/>
        </c:ser>
        <c:ser>
          <c:idx val="5"/>
          <c:order val="5"/>
          <c:tx>
            <c:v>Heater Power vs Tc</c:v>
          </c:tx>
          <c:spPr>
            <a:ln w="25400">
              <a:solidFill>
                <a:srgbClr val="9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PT30!$N$44:$N$1540</c:f>
              <c:numCache/>
            </c:numRef>
          </c:xVal>
          <c:yVal>
            <c:numRef>
              <c:f>PT30!$Q$44:$Q$1540</c:f>
              <c:numCache/>
            </c:numRef>
          </c:yVal>
          <c:smooth val="0"/>
        </c:ser>
        <c:axId val="20681658"/>
        <c:axId val="51917195"/>
      </c:scatterChart>
      <c:scatterChart>
        <c:scatterStyle val="lineMarker"/>
        <c:varyColors val="0"/>
        <c:ser>
          <c:idx val="2"/>
          <c:order val="2"/>
          <c:tx>
            <c:v>seconds to reach Tc</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PT30!$N$44:$N$1540</c:f>
              <c:numCache/>
            </c:numRef>
          </c:xVal>
          <c:yVal>
            <c:numRef>
              <c:f>PT30!$I$44:$I$1540</c:f>
              <c:numCache/>
            </c:numRef>
          </c:yVal>
          <c:smooth val="1"/>
        </c:ser>
        <c:ser>
          <c:idx val="1"/>
          <c:order val="3"/>
          <c:tx>
            <c:v>seconds to reach Td</c:v>
          </c:tx>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PT30!$K$44:$K$1540</c:f>
              <c:numCache/>
            </c:numRef>
          </c:xVal>
          <c:yVal>
            <c:numRef>
              <c:f>PT30!$I$44:$I$1540</c:f>
              <c:numCache/>
            </c:numRef>
          </c:yVal>
          <c:smooth val="1"/>
        </c:ser>
        <c:axId val="64601572"/>
        <c:axId val="44543237"/>
      </c:scatterChart>
      <c:valAx>
        <c:axId val="20681658"/>
        <c:scaling>
          <c:orientation val="minMax"/>
          <c:max val="300"/>
          <c:min val="100"/>
        </c:scaling>
        <c:axPos val="b"/>
        <c:title>
          <c:tx>
            <c:rich>
              <a:bodyPr vert="horz" rot="0" anchor="ctr"/>
              <a:lstStyle/>
              <a:p>
                <a:pPr algn="ctr">
                  <a:defRPr/>
                </a:pPr>
                <a:r>
                  <a:rPr lang="en-US" cap="none" sz="1200" b="1" i="0" u="none" baseline="0">
                    <a:latin typeface="Verdana"/>
                    <a:ea typeface="Verdana"/>
                    <a:cs typeface="Verdana"/>
                  </a:rPr>
                  <a:t>temperature (K)</a:t>
                </a:r>
              </a:p>
            </c:rich>
          </c:tx>
          <c:layout/>
          <c:overlay val="0"/>
          <c:spPr>
            <a:noFill/>
            <a:ln>
              <a:noFill/>
            </a:ln>
          </c:spPr>
        </c:title>
        <c:majorGridlines>
          <c:spPr>
            <a:ln w="3175">
              <a:solidFill>
                <a:srgbClr val="808080"/>
              </a:solidFill>
            </a:ln>
          </c:spPr>
        </c:majorGridlines>
        <c:delete val="0"/>
        <c:numFmt formatCode="General" sourceLinked="1"/>
        <c:majorTickMark val="out"/>
        <c:minorTickMark val="out"/>
        <c:tickLblPos val="nextTo"/>
        <c:crossAx val="51917195"/>
        <c:crosses val="autoZero"/>
        <c:crossBetween val="midCat"/>
        <c:dispUnits/>
        <c:majorUnit val="20"/>
        <c:minorUnit val="10"/>
      </c:valAx>
      <c:valAx>
        <c:axId val="51917195"/>
        <c:scaling>
          <c:orientation val="minMax"/>
          <c:min val="0"/>
        </c:scaling>
        <c:axPos val="l"/>
        <c:title>
          <c:tx>
            <c:rich>
              <a:bodyPr vert="horz" rot="-5400000" anchor="ctr"/>
              <a:lstStyle/>
              <a:p>
                <a:pPr algn="ctr">
                  <a:defRPr/>
                </a:pPr>
                <a:r>
                  <a:rPr lang="en-US" cap="none" sz="1600" b="1" i="0" u="none" baseline="0">
                    <a:solidFill>
                      <a:srgbClr val="DD0806"/>
                    </a:solidFill>
                    <a:latin typeface="Verdana"/>
                    <a:ea typeface="Verdana"/>
                    <a:cs typeface="Verdana"/>
                  </a:rPr>
                  <a:t>Watts</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1400" b="0" i="0" u="none" baseline="0">
                <a:solidFill>
                  <a:srgbClr val="FF6600"/>
                </a:solidFill>
                <a:latin typeface="Verdana"/>
                <a:ea typeface="Verdana"/>
                <a:cs typeface="Verdana"/>
              </a:defRPr>
            </a:pPr>
          </a:p>
        </c:txPr>
        <c:crossAx val="20681658"/>
        <c:crosses val="autoZero"/>
        <c:crossBetween val="midCat"/>
        <c:dispUnits/>
      </c:valAx>
      <c:valAx>
        <c:axId val="64601572"/>
        <c:scaling>
          <c:orientation val="minMax"/>
        </c:scaling>
        <c:axPos val="b"/>
        <c:delete val="1"/>
        <c:majorTickMark val="in"/>
        <c:minorTickMark val="none"/>
        <c:tickLblPos val="nextTo"/>
        <c:crossAx val="44543237"/>
        <c:crosses val="max"/>
        <c:crossBetween val="midCat"/>
        <c:dispUnits/>
      </c:valAx>
      <c:valAx>
        <c:axId val="44543237"/>
        <c:scaling>
          <c:orientation val="minMax"/>
          <c:max val="21000"/>
          <c:min val="0"/>
        </c:scaling>
        <c:axPos val="l"/>
        <c:title>
          <c:tx>
            <c:rich>
              <a:bodyPr vert="horz" rot="-5400000" anchor="ctr"/>
              <a:lstStyle/>
              <a:p>
                <a:pPr algn="ctr" rtl="1">
                  <a:defRPr/>
                </a:pPr>
                <a:r>
                  <a:rPr lang="en-US" cap="none" sz="1600" b="1" i="0" u="none" baseline="0">
                    <a:latin typeface="Verdana"/>
                    <a:ea typeface="Verdana"/>
                    <a:cs typeface="Verdana"/>
                  </a:rPr>
                  <a:t>seconds</a:t>
                </a:r>
              </a:p>
            </c:rich>
          </c:tx>
          <c:layout/>
          <c:overlay val="0"/>
          <c:spPr>
            <a:noFill/>
            <a:ln>
              <a:noFill/>
            </a:ln>
          </c:spPr>
        </c:title>
        <c:delete val="0"/>
        <c:numFmt formatCode="#,##0" sourceLinked="0"/>
        <c:majorTickMark val="cross"/>
        <c:minorTickMark val="none"/>
        <c:tickLblPos val="nextTo"/>
        <c:spPr>
          <a:ln w="3175">
            <a:solidFill>
              <a:srgbClr val="0000D4"/>
            </a:solidFill>
          </a:ln>
        </c:spPr>
        <c:txPr>
          <a:bodyPr/>
          <a:lstStyle/>
          <a:p>
            <a:pPr>
              <a:defRPr lang="en-US" cap="none" sz="1375" b="1" i="0" u="none" baseline="0">
                <a:solidFill>
                  <a:srgbClr val="0000D4"/>
                </a:solidFill>
                <a:latin typeface="Verdana"/>
                <a:ea typeface="Verdana"/>
                <a:cs typeface="Verdana"/>
              </a:defRPr>
            </a:pPr>
          </a:p>
        </c:txPr>
        <c:crossAx val="64601572"/>
        <c:crosses val="max"/>
        <c:crossBetween val="midCat"/>
        <c:dispUnits/>
        <c:majorUnit val="3000"/>
      </c:valAx>
      <c:spPr>
        <a:solidFill>
          <a:srgbClr val="CDCDCD"/>
        </a:solidFill>
        <a:ln w="12700">
          <a:solidFill>
            <a:srgbClr val="808080"/>
          </a:solidFill>
        </a:ln>
      </c:spPr>
    </c:plotArea>
    <c:legend>
      <c:legendPos val="r"/>
      <c:layout>
        <c:manualLayout>
          <c:xMode val="edge"/>
          <c:yMode val="edge"/>
          <c:x val="0.4785"/>
          <c:y val="0.02875"/>
          <c:w val="0.37725"/>
          <c:h val="0.29575"/>
        </c:manualLayout>
      </c:layout>
      <c:overlay val="0"/>
      <c:spPr>
        <a:ln w="12700">
          <a:solidFill>
            <a:srgbClr val="000000"/>
          </a:solidFill>
        </a:ln>
      </c:spPr>
      <c:txPr>
        <a:bodyPr vert="horz" rot="0"/>
        <a:lstStyle/>
        <a:p>
          <a:pPr>
            <a:defRPr lang="en-US" cap="none" sz="1600" b="0" i="0" u="none" baseline="0">
              <a:latin typeface="Verdana"/>
              <a:ea typeface="Verdana"/>
              <a:cs typeface="Verdana"/>
            </a:defRPr>
          </a:pPr>
        </a:p>
      </c:txPr>
    </c:legend>
    <c:plotVisOnly val="1"/>
    <c:dispBlanksAs val="gap"/>
    <c:showDLblsOverMax val="0"/>
  </c:chart>
  <c:txPr>
    <a:bodyPr vert="horz" rot="0"/>
    <a:lstStyle/>
    <a:p>
      <a:pPr>
        <a:defRPr lang="en-US" cap="none" sz="1200" b="0" i="0" u="none" baseline="0">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Verdana"/>
                <a:ea typeface="Verdana"/>
                <a:cs typeface="Verdana"/>
              </a:rPr>
              <a:t>Survery rate vs number of amps</a:t>
            </a:r>
          </a:p>
        </c:rich>
      </c:tx>
      <c:layout>
        <c:manualLayout>
          <c:xMode val="factor"/>
          <c:yMode val="factor"/>
          <c:x val="0.03075"/>
          <c:y val="0.02275"/>
        </c:manualLayout>
      </c:layout>
      <c:spPr>
        <a:noFill/>
        <a:ln>
          <a:noFill/>
        </a:ln>
      </c:spPr>
    </c:title>
    <c:plotArea>
      <c:layout>
        <c:manualLayout>
          <c:xMode val="edge"/>
          <c:yMode val="edge"/>
          <c:x val="0.077"/>
          <c:y val="0.13825"/>
          <c:w val="0.879"/>
          <c:h val="0.77375"/>
        </c:manualLayout>
      </c:layout>
      <c:scatterChart>
        <c:scatterStyle val="smooth"/>
        <c:varyColors val="0"/>
        <c:ser>
          <c:idx val="0"/>
          <c:order val="0"/>
          <c:tx>
            <c:v>Current config</c:v>
          </c:tx>
          <c:spPr>
            <a:ln w="254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vignetting!$A$44:$A$50</c:f>
              <c:numCache>
                <c:ptCount val="7"/>
                <c:pt idx="0">
                  <c:v>0</c:v>
                </c:pt>
                <c:pt idx="1">
                  <c:v>0</c:v>
                </c:pt>
                <c:pt idx="2">
                  <c:v>0</c:v>
                </c:pt>
                <c:pt idx="3">
                  <c:v>0</c:v>
                </c:pt>
                <c:pt idx="4">
                  <c:v>0</c:v>
                </c:pt>
                <c:pt idx="5">
                  <c:v>0</c:v>
                </c:pt>
                <c:pt idx="6">
                  <c:v>0</c:v>
                </c:pt>
              </c:numCache>
            </c:numRef>
          </c:xVal>
          <c:yVal>
            <c:numRef>
              <c:f>vignetting!$B$44:$B$50</c:f>
              <c:numCache>
                <c:ptCount val="7"/>
                <c:pt idx="0">
                  <c:v>0</c:v>
                </c:pt>
                <c:pt idx="1">
                  <c:v>0</c:v>
                </c:pt>
                <c:pt idx="2">
                  <c:v>0</c:v>
                </c:pt>
                <c:pt idx="3">
                  <c:v>0</c:v>
                </c:pt>
                <c:pt idx="4">
                  <c:v>0</c:v>
                </c:pt>
                <c:pt idx="5">
                  <c:v>0</c:v>
                </c:pt>
                <c:pt idx="6">
                  <c:v>0</c:v>
                </c:pt>
              </c:numCache>
            </c:numRef>
          </c:yVal>
          <c:smooth val="1"/>
        </c:ser>
        <c:ser>
          <c:idx val="1"/>
          <c:order val="1"/>
          <c:tx>
            <c:v>faster</c:v>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vignetting!$A$44:$A$50</c:f>
              <c:numCache>
                <c:ptCount val="7"/>
                <c:pt idx="0">
                  <c:v>0</c:v>
                </c:pt>
                <c:pt idx="1">
                  <c:v>0</c:v>
                </c:pt>
                <c:pt idx="2">
                  <c:v>0</c:v>
                </c:pt>
                <c:pt idx="3">
                  <c:v>0</c:v>
                </c:pt>
                <c:pt idx="4">
                  <c:v>0</c:v>
                </c:pt>
                <c:pt idx="5">
                  <c:v>0</c:v>
                </c:pt>
                <c:pt idx="6">
                  <c:v>0</c:v>
                </c:pt>
              </c:numCache>
            </c:numRef>
          </c:xVal>
          <c:yVal>
            <c:numRef>
              <c:f>vignetting!$C$44:$C$50</c:f>
              <c:numCache>
                <c:ptCount val="7"/>
                <c:pt idx="0">
                  <c:v>0</c:v>
                </c:pt>
                <c:pt idx="1">
                  <c:v>0</c:v>
                </c:pt>
                <c:pt idx="2">
                  <c:v>0</c:v>
                </c:pt>
                <c:pt idx="3">
                  <c:v>0</c:v>
                </c:pt>
                <c:pt idx="4">
                  <c:v>0</c:v>
                </c:pt>
                <c:pt idx="5">
                  <c:v>0</c:v>
                </c:pt>
                <c:pt idx="6">
                  <c:v>0</c:v>
                </c:pt>
              </c:numCache>
            </c:numRef>
          </c:yVal>
          <c:smooth val="1"/>
        </c:ser>
        <c:ser>
          <c:idx val="3"/>
          <c:order val="2"/>
          <c:tx>
            <c:v>21ch</c:v>
          </c:tx>
          <c:spPr>
            <a:ln w="25400">
              <a:solidFill>
                <a:srgbClr val="0000D4"/>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vignetting!$A$44:$A$50</c:f>
              <c:numCache>
                <c:ptCount val="7"/>
                <c:pt idx="0">
                  <c:v>0</c:v>
                </c:pt>
                <c:pt idx="1">
                  <c:v>0</c:v>
                </c:pt>
                <c:pt idx="2">
                  <c:v>0</c:v>
                </c:pt>
                <c:pt idx="3">
                  <c:v>0</c:v>
                </c:pt>
                <c:pt idx="4">
                  <c:v>0</c:v>
                </c:pt>
                <c:pt idx="5">
                  <c:v>0</c:v>
                </c:pt>
                <c:pt idx="6">
                  <c:v>0</c:v>
                </c:pt>
              </c:numCache>
            </c:numRef>
          </c:xVal>
          <c:yVal>
            <c:numRef>
              <c:f>vignetting!$D$44:$D$50</c:f>
              <c:numCache>
                <c:ptCount val="7"/>
                <c:pt idx="0">
                  <c:v>0</c:v>
                </c:pt>
                <c:pt idx="1">
                  <c:v>0</c:v>
                </c:pt>
                <c:pt idx="2">
                  <c:v>0</c:v>
                </c:pt>
                <c:pt idx="3">
                  <c:v>0</c:v>
                </c:pt>
                <c:pt idx="4">
                  <c:v>0</c:v>
                </c:pt>
                <c:pt idx="5">
                  <c:v>0</c:v>
                </c:pt>
                <c:pt idx="6">
                  <c:v>0</c:v>
                </c:pt>
              </c:numCache>
            </c:numRef>
          </c:yVal>
          <c:smooth val="1"/>
        </c:ser>
        <c:ser>
          <c:idx val="2"/>
          <c:order val="3"/>
          <c:tx>
            <c:v>faster, 21ch</c:v>
          </c:tx>
          <c:spPr>
            <a:ln w="25400">
              <a:solidFill>
                <a:srgbClr val="DD0806"/>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vignetting!$A$44:$A$50</c:f>
              <c:numCache>
                <c:ptCount val="7"/>
                <c:pt idx="0">
                  <c:v>0</c:v>
                </c:pt>
                <c:pt idx="1">
                  <c:v>0</c:v>
                </c:pt>
                <c:pt idx="2">
                  <c:v>0</c:v>
                </c:pt>
                <c:pt idx="3">
                  <c:v>0</c:v>
                </c:pt>
                <c:pt idx="4">
                  <c:v>0</c:v>
                </c:pt>
                <c:pt idx="5">
                  <c:v>0</c:v>
                </c:pt>
                <c:pt idx="6">
                  <c:v>0</c:v>
                </c:pt>
              </c:numCache>
            </c:numRef>
          </c:xVal>
          <c:yVal>
            <c:numRef>
              <c:f>vignetting!$E$44:$E$50</c:f>
              <c:numCache>
                <c:ptCount val="7"/>
                <c:pt idx="0">
                  <c:v>0</c:v>
                </c:pt>
                <c:pt idx="1">
                  <c:v>0</c:v>
                </c:pt>
                <c:pt idx="2">
                  <c:v>0</c:v>
                </c:pt>
                <c:pt idx="3">
                  <c:v>0</c:v>
                </c:pt>
                <c:pt idx="4">
                  <c:v>0</c:v>
                </c:pt>
                <c:pt idx="5">
                  <c:v>0</c:v>
                </c:pt>
                <c:pt idx="6">
                  <c:v>0</c:v>
                </c:pt>
              </c:numCache>
            </c:numRef>
          </c:yVal>
          <c:smooth val="1"/>
        </c:ser>
        <c:axId val="65344814"/>
        <c:axId val="51232415"/>
      </c:scatterChart>
      <c:valAx>
        <c:axId val="65344814"/>
        <c:scaling>
          <c:orientation val="minMax"/>
          <c:max val="250"/>
        </c:scaling>
        <c:axPos val="b"/>
        <c:title>
          <c:tx>
            <c:rich>
              <a:bodyPr vert="horz" rot="0" anchor="ctr"/>
              <a:lstStyle/>
              <a:p>
                <a:pPr algn="ctr">
                  <a:defRPr/>
                </a:pPr>
                <a:r>
                  <a:rPr lang="en-US" cap="none" sz="1600" b="1" i="0" u="none" baseline="0">
                    <a:latin typeface="Verdana"/>
                    <a:ea typeface="Verdana"/>
                    <a:cs typeface="Verdana"/>
                  </a:rPr>
                  <a:t>time per exposure</a:t>
                </a:r>
              </a:p>
            </c:rich>
          </c:tx>
          <c:layout/>
          <c:overlay val="0"/>
          <c:spPr>
            <a:noFill/>
            <a:ln>
              <a:noFill/>
            </a:ln>
          </c:spPr>
        </c:title>
        <c:majorGridlines/>
        <c:delete val="0"/>
        <c:numFmt formatCode="General" sourceLinked="1"/>
        <c:majorTickMark val="out"/>
        <c:minorTickMark val="none"/>
        <c:tickLblPos val="nextTo"/>
        <c:crossAx val="51232415"/>
        <c:crossesAt val="100"/>
        <c:crossBetween val="midCat"/>
        <c:dispUnits/>
      </c:valAx>
      <c:valAx>
        <c:axId val="51232415"/>
        <c:scaling>
          <c:logBase val="10"/>
          <c:orientation val="minMax"/>
          <c:max val="1000"/>
          <c:min val="100"/>
        </c:scaling>
        <c:axPos val="l"/>
        <c:title>
          <c:tx>
            <c:rich>
              <a:bodyPr vert="horz" rot="-5400000" anchor="ctr"/>
              <a:lstStyle/>
              <a:p>
                <a:pPr algn="ctr">
                  <a:defRPr/>
                </a:pPr>
                <a:r>
                  <a:rPr lang="en-US" cap="none" sz="1600" b="1" i="0" u="none" baseline="0">
                    <a:latin typeface="Verdana"/>
                    <a:ea typeface="Verdana"/>
                    <a:cs typeface="Verdana"/>
                  </a:rPr>
                  <a:t>sq.degrees per hour</a:t>
                </a:r>
              </a:p>
            </c:rich>
          </c:tx>
          <c:layout/>
          <c:overlay val="0"/>
          <c:spPr>
            <a:noFill/>
            <a:ln>
              <a:noFill/>
            </a:ln>
          </c:spPr>
        </c:title>
        <c:majorGridlines/>
        <c:minorGridlines/>
        <c:delete val="0"/>
        <c:numFmt formatCode="General" sourceLinked="1"/>
        <c:majorTickMark val="out"/>
        <c:minorTickMark val="out"/>
        <c:tickLblPos val="nextTo"/>
        <c:crossAx val="65344814"/>
        <c:crosses val="autoZero"/>
        <c:crossBetween val="midCat"/>
        <c:dispUnits/>
      </c:valAx>
      <c:spPr>
        <a:solidFill>
          <a:srgbClr val="CDCDCD"/>
        </a:solidFill>
        <a:ln w="12700">
          <a:solidFill>
            <a:srgbClr val="808080"/>
          </a:solidFill>
        </a:ln>
      </c:spPr>
    </c:plotArea>
    <c:legend>
      <c:legendPos val="r"/>
      <c:layout>
        <c:manualLayout>
          <c:xMode val="edge"/>
          <c:yMode val="edge"/>
          <c:x val="0.522"/>
          <c:y val="0.23625"/>
          <c:w val="0.38325"/>
          <c:h val="0.2085"/>
        </c:manualLayout>
      </c:layout>
      <c:overlay val="0"/>
      <c:spPr>
        <a:ln w="3175">
          <a:noFill/>
        </a:ln>
      </c:spPr>
      <c:txPr>
        <a:bodyPr vert="horz" rot="0"/>
        <a:lstStyle/>
        <a:p>
          <a:pPr>
            <a:defRPr lang="en-US" cap="none" sz="1200" b="0" i="0" u="none" baseline="0">
              <a:latin typeface="Verdana"/>
              <a:ea typeface="Verdana"/>
              <a:cs typeface="Verdana"/>
            </a:defRPr>
          </a:pPr>
        </a:p>
      </c:txPr>
    </c:legend>
    <c:plotVisOnly val="1"/>
    <c:dispBlanksAs val="gap"/>
    <c:showDLblsOverMax val="0"/>
  </c:chart>
  <c:txPr>
    <a:bodyPr vert="horz" rot="0"/>
    <a:lstStyle/>
    <a:p>
      <a:pPr>
        <a:defRPr lang="en-US" cap="none" sz="1000" b="0" i="0" u="none" baseline="0">
          <a:latin typeface="Verdana"/>
          <a:ea typeface="Verdana"/>
          <a:cs typeface="Verdana"/>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0</xdr:row>
      <xdr:rowOff>85725</xdr:rowOff>
    </xdr:from>
    <xdr:to>
      <xdr:col>15</xdr:col>
      <xdr:colOff>238125</xdr:colOff>
      <xdr:row>41</xdr:row>
      <xdr:rowOff>133350</xdr:rowOff>
    </xdr:to>
    <xdr:graphicFrame>
      <xdr:nvGraphicFramePr>
        <xdr:cNvPr id="1" name="Chart 1"/>
        <xdr:cNvGraphicFramePr/>
      </xdr:nvGraphicFramePr>
      <xdr:xfrm>
        <a:off x="5257800" y="85725"/>
        <a:ext cx="8229600" cy="6781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66675</xdr:rowOff>
    </xdr:from>
    <xdr:to>
      <xdr:col>16</xdr:col>
      <xdr:colOff>9525</xdr:colOff>
      <xdr:row>37</xdr:row>
      <xdr:rowOff>123825</xdr:rowOff>
    </xdr:to>
    <xdr:graphicFrame>
      <xdr:nvGraphicFramePr>
        <xdr:cNvPr id="1" name="Chart 1"/>
        <xdr:cNvGraphicFramePr/>
      </xdr:nvGraphicFramePr>
      <xdr:xfrm>
        <a:off x="5848350" y="66675"/>
        <a:ext cx="8267700" cy="61436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xdr:row>
      <xdr:rowOff>0</xdr:rowOff>
    </xdr:from>
    <xdr:to>
      <xdr:col>4</xdr:col>
      <xdr:colOff>885825</xdr:colOff>
      <xdr:row>4</xdr:row>
      <xdr:rowOff>123825</xdr:rowOff>
    </xdr:to>
    <xdr:sp>
      <xdr:nvSpPr>
        <xdr:cNvPr id="2" name="TextBox 72"/>
        <xdr:cNvSpPr txBox="1">
          <a:spLocks noChangeArrowheads="1"/>
        </xdr:cNvSpPr>
      </xdr:nvSpPr>
      <xdr:spPr>
        <a:xfrm>
          <a:off x="2447925" y="390525"/>
          <a:ext cx="233362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Verdana"/>
              <a:ea typeface="Verdana"/>
              <a:cs typeface="Verdana"/>
            </a:rPr>
            <a:t>Scroll to bottom of table to see thermal circuit diagram</a:t>
          </a:r>
        </a:p>
      </xdr:txBody>
    </xdr:sp>
    <xdr:clientData/>
  </xdr:twoCellAnchor>
  <xdr:twoCellAnchor>
    <xdr:from>
      <xdr:col>0</xdr:col>
      <xdr:colOff>1114425</xdr:colOff>
      <xdr:row>253</xdr:row>
      <xdr:rowOff>66675</xdr:rowOff>
    </xdr:from>
    <xdr:to>
      <xdr:col>7</xdr:col>
      <xdr:colOff>685800</xdr:colOff>
      <xdr:row>271</xdr:row>
      <xdr:rowOff>152400</xdr:rowOff>
    </xdr:to>
    <xdr:grpSp>
      <xdr:nvGrpSpPr>
        <xdr:cNvPr id="3" name="Group 77"/>
        <xdr:cNvGrpSpPr>
          <a:grpSpLocks/>
        </xdr:cNvGrpSpPr>
      </xdr:nvGrpSpPr>
      <xdr:grpSpPr>
        <a:xfrm>
          <a:off x="1114425" y="41614725"/>
          <a:ext cx="6105525" cy="3000375"/>
          <a:chOff x="102" y="3224"/>
          <a:chExt cx="576" cy="241"/>
        </a:xfrm>
        <a:solidFill>
          <a:srgbClr val="FFFFFF"/>
        </a:solidFill>
      </xdr:grpSpPr>
      <xdr:grpSp>
        <xdr:nvGrpSpPr>
          <xdr:cNvPr id="4" name="Group 75"/>
          <xdr:cNvGrpSpPr>
            <a:grpSpLocks/>
          </xdr:cNvGrpSpPr>
        </xdr:nvGrpSpPr>
        <xdr:grpSpPr>
          <a:xfrm>
            <a:off x="102" y="3224"/>
            <a:ext cx="576" cy="241"/>
            <a:chOff x="102" y="3224"/>
            <a:chExt cx="576" cy="241"/>
          </a:xfrm>
          <a:solidFill>
            <a:srgbClr val="FFFFFF"/>
          </a:solidFill>
        </xdr:grpSpPr>
        <xdr:grpSp>
          <xdr:nvGrpSpPr>
            <xdr:cNvPr id="5" name="Group 71"/>
            <xdr:cNvGrpSpPr>
              <a:grpSpLocks/>
            </xdr:cNvGrpSpPr>
          </xdr:nvGrpSpPr>
          <xdr:grpSpPr>
            <a:xfrm>
              <a:off x="102" y="3224"/>
              <a:ext cx="576" cy="241"/>
              <a:chOff x="102" y="3224"/>
              <a:chExt cx="576" cy="241"/>
            </a:xfrm>
            <a:solidFill>
              <a:srgbClr val="FFFFFF"/>
            </a:solidFill>
          </xdr:grpSpPr>
          <xdr:sp>
            <xdr:nvSpPr>
              <xdr:cNvPr id="6" name="Oval 9"/>
              <xdr:cNvSpPr>
                <a:spLocks/>
              </xdr:cNvSpPr>
            </xdr:nvSpPr>
            <xdr:spPr>
              <a:xfrm>
                <a:off x="102" y="3349"/>
                <a:ext cx="40" cy="38"/>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Ta</a:t>
                </a:r>
              </a:p>
            </xdr:txBody>
          </xdr:sp>
          <xdr:sp>
            <xdr:nvSpPr>
              <xdr:cNvPr id="7" name="Rectangle 11"/>
              <xdr:cNvSpPr>
                <a:spLocks/>
              </xdr:cNvSpPr>
            </xdr:nvSpPr>
            <xdr:spPr>
              <a:xfrm>
                <a:off x="185" y="3278"/>
                <a:ext cx="49"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Rp</a:t>
                </a:r>
              </a:p>
            </xdr:txBody>
          </xdr:sp>
          <xdr:sp>
            <xdr:nvSpPr>
              <xdr:cNvPr id="8" name="Rectangle 12"/>
              <xdr:cNvSpPr>
                <a:spLocks/>
              </xdr:cNvSpPr>
            </xdr:nvSpPr>
            <xdr:spPr>
              <a:xfrm>
                <a:off x="185" y="3312"/>
                <a:ext cx="49"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Rw</a:t>
                </a:r>
              </a:p>
            </xdr:txBody>
          </xdr:sp>
          <xdr:grpSp>
            <xdr:nvGrpSpPr>
              <xdr:cNvPr id="9" name="Group 15"/>
              <xdr:cNvGrpSpPr>
                <a:grpSpLocks/>
              </xdr:cNvGrpSpPr>
            </xdr:nvGrpSpPr>
            <xdr:grpSpPr>
              <a:xfrm>
                <a:off x="279" y="3224"/>
                <a:ext cx="33" cy="43"/>
                <a:chOff x="114" y="3344"/>
                <a:chExt cx="33" cy="43"/>
              </a:xfrm>
              <a:solidFill>
                <a:srgbClr val="FFFFFF"/>
              </a:solidFill>
            </xdr:grpSpPr>
            <xdr:sp>
              <xdr:nvSpPr>
                <xdr:cNvPr id="10" name="Oval 13"/>
                <xdr:cNvSpPr>
                  <a:spLocks/>
                </xdr:cNvSpPr>
              </xdr:nvSpPr>
              <xdr:spPr>
                <a:xfrm>
                  <a:off x="114" y="3344"/>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1" name="Oval 14"/>
                <xdr:cNvSpPr>
                  <a:spLocks/>
                </xdr:cNvSpPr>
              </xdr:nvSpPr>
              <xdr:spPr>
                <a:xfrm>
                  <a:off x="114" y="3356"/>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grpSp>
            <xdr:nvGrpSpPr>
              <xdr:cNvPr id="12" name="Group 20"/>
              <xdr:cNvGrpSpPr>
                <a:grpSpLocks/>
              </xdr:cNvGrpSpPr>
            </xdr:nvGrpSpPr>
            <xdr:grpSpPr>
              <a:xfrm>
                <a:off x="105" y="3424"/>
                <a:ext cx="32" cy="14"/>
                <a:chOff x="103" y="3400"/>
                <a:chExt cx="32" cy="14"/>
              </a:xfrm>
              <a:solidFill>
                <a:srgbClr val="FFFFFF"/>
              </a:solidFill>
            </xdr:grpSpPr>
            <xdr:sp>
              <xdr:nvSpPr>
                <xdr:cNvPr id="13" name="Line 16"/>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4" name="Line 17"/>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5" name="Line 19"/>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16" name="Line 21"/>
              <xdr:cNvSpPr>
                <a:spLocks/>
              </xdr:cNvSpPr>
            </xdr:nvSpPr>
            <xdr:spPr>
              <a:xfrm flipV="1">
                <a:off x="120" y="3387"/>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7" name="Line 22"/>
              <xdr:cNvSpPr>
                <a:spLocks/>
              </xdr:cNvSpPr>
            </xdr:nvSpPr>
            <xdr:spPr>
              <a:xfrm flipV="1">
                <a:off x="121" y="3287"/>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Line 23"/>
              <xdr:cNvSpPr>
                <a:spLocks/>
              </xdr:cNvSpPr>
            </xdr:nvSpPr>
            <xdr:spPr>
              <a:xfrm flipH="1">
                <a:off x="122" y="3321"/>
                <a:ext cx="6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9" name="Line 24"/>
              <xdr:cNvSpPr>
                <a:spLocks/>
              </xdr:cNvSpPr>
            </xdr:nvSpPr>
            <xdr:spPr>
              <a:xfrm>
                <a:off x="121" y="3287"/>
                <a:ext cx="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0" name="Line 25"/>
              <xdr:cNvSpPr>
                <a:spLocks/>
              </xdr:cNvSpPr>
            </xdr:nvSpPr>
            <xdr:spPr>
              <a:xfrm>
                <a:off x="234" y="3321"/>
                <a:ext cx="2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1" name="Rectangle 26"/>
              <xdr:cNvSpPr>
                <a:spLocks/>
              </xdr:cNvSpPr>
            </xdr:nvSpPr>
            <xdr:spPr>
              <a:xfrm>
                <a:off x="456" y="3312"/>
                <a:ext cx="55"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Rd</a:t>
                </a:r>
              </a:p>
            </xdr:txBody>
          </xdr:sp>
          <xdr:sp>
            <xdr:nvSpPr>
              <xdr:cNvPr id="22" name="Line 27"/>
              <xdr:cNvSpPr>
                <a:spLocks/>
              </xdr:cNvSpPr>
            </xdr:nvSpPr>
            <xdr:spPr>
              <a:xfrm flipV="1">
                <a:off x="296" y="3268"/>
                <a:ext cx="0" cy="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3" name="Line 28"/>
              <xdr:cNvSpPr>
                <a:spLocks/>
              </xdr:cNvSpPr>
            </xdr:nvSpPr>
            <xdr:spPr>
              <a:xfrm>
                <a:off x="235" y="3287"/>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nvGrpSpPr>
              <xdr:cNvPr id="24" name="Group 31"/>
              <xdr:cNvGrpSpPr>
                <a:grpSpLocks/>
              </xdr:cNvGrpSpPr>
            </xdr:nvGrpSpPr>
            <xdr:grpSpPr>
              <a:xfrm>
                <a:off x="277" y="3360"/>
                <a:ext cx="39" cy="12"/>
                <a:chOff x="277" y="3336"/>
                <a:chExt cx="39" cy="12"/>
              </a:xfrm>
              <a:solidFill>
                <a:srgbClr val="FFFFFF"/>
              </a:solidFill>
            </xdr:grpSpPr>
            <xdr:sp>
              <xdr:nvSpPr>
                <xdr:cNvPr id="25" name="Line 29"/>
                <xdr:cNvSpPr>
                  <a:spLocks/>
                </xdr:cNvSpPr>
              </xdr:nvSpPr>
              <xdr:spPr>
                <a:xfrm>
                  <a:off x="277" y="3336"/>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6" name="Line 30"/>
                <xdr:cNvSpPr>
                  <a:spLocks/>
                </xdr:cNvSpPr>
              </xdr:nvSpPr>
              <xdr:spPr>
                <a:xfrm>
                  <a:off x="277" y="3348"/>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grpSp>
            <xdr:nvGrpSpPr>
              <xdr:cNvPr id="27" name="Group 37"/>
              <xdr:cNvGrpSpPr>
                <a:grpSpLocks/>
              </xdr:cNvGrpSpPr>
            </xdr:nvGrpSpPr>
            <xdr:grpSpPr>
              <a:xfrm>
                <a:off x="281" y="3372"/>
                <a:ext cx="32" cy="51"/>
                <a:chOff x="117" y="3399"/>
                <a:chExt cx="32" cy="51"/>
              </a:xfrm>
              <a:solidFill>
                <a:srgbClr val="FFFFFF"/>
              </a:solidFill>
            </xdr:grpSpPr>
            <xdr:grpSp>
              <xdr:nvGrpSpPr>
                <xdr:cNvPr id="28" name="Group 32"/>
                <xdr:cNvGrpSpPr>
                  <a:grpSpLocks/>
                </xdr:cNvGrpSpPr>
              </xdr:nvGrpSpPr>
              <xdr:grpSpPr>
                <a:xfrm>
                  <a:off x="117" y="3436"/>
                  <a:ext cx="32" cy="14"/>
                  <a:chOff x="103" y="3400"/>
                  <a:chExt cx="32" cy="14"/>
                </a:xfrm>
                <a:solidFill>
                  <a:srgbClr val="FFFFFF"/>
                </a:solidFill>
              </xdr:grpSpPr>
              <xdr:sp>
                <xdr:nvSpPr>
                  <xdr:cNvPr id="29" name="Line 33"/>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0" name="Line 34"/>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1" name="Line 35"/>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32" name="Line 36"/>
                <xdr:cNvSpPr>
                  <a:spLocks/>
                </xdr:cNvSpPr>
              </xdr:nvSpPr>
              <xdr:spPr>
                <a:xfrm flipV="1">
                  <a:off x="132" y="339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33" name="Oval 38"/>
              <xdr:cNvSpPr>
                <a:spLocks/>
              </xdr:cNvSpPr>
            </xdr:nvSpPr>
            <xdr:spPr>
              <a:xfrm>
                <a:off x="369" y="3376"/>
                <a:ext cx="40" cy="38"/>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Tsp</a:t>
                </a:r>
              </a:p>
            </xdr:txBody>
          </xdr:sp>
          <xdr:grpSp>
            <xdr:nvGrpSpPr>
              <xdr:cNvPr id="34" name="Group 39"/>
              <xdr:cNvGrpSpPr>
                <a:grpSpLocks/>
              </xdr:cNvGrpSpPr>
            </xdr:nvGrpSpPr>
            <xdr:grpSpPr>
              <a:xfrm>
                <a:off x="372" y="3451"/>
                <a:ext cx="32" cy="14"/>
                <a:chOff x="103" y="3400"/>
                <a:chExt cx="32" cy="14"/>
              </a:xfrm>
              <a:solidFill>
                <a:srgbClr val="FFFFFF"/>
              </a:solidFill>
            </xdr:grpSpPr>
            <xdr:sp>
              <xdr:nvSpPr>
                <xdr:cNvPr id="35" name="Line 40"/>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6" name="Line 41"/>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7" name="Line 42"/>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38" name="Line 43"/>
              <xdr:cNvSpPr>
                <a:spLocks/>
              </xdr:cNvSpPr>
            </xdr:nvSpPr>
            <xdr:spPr>
              <a:xfrm flipV="1">
                <a:off x="387" y="3414"/>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9" name="AutoShape 44"/>
              <xdr:cNvSpPr>
                <a:spLocks/>
              </xdr:cNvSpPr>
            </xdr:nvSpPr>
            <xdr:spPr>
              <a:xfrm>
                <a:off x="378" y="3342"/>
                <a:ext cx="21" cy="14"/>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0" name="Line 45"/>
              <xdr:cNvSpPr>
                <a:spLocks/>
              </xdr:cNvSpPr>
            </xdr:nvSpPr>
            <xdr:spPr>
              <a:xfrm flipV="1">
                <a:off x="388" y="3356"/>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1" name="Line 46"/>
              <xdr:cNvSpPr>
                <a:spLocks/>
              </xdr:cNvSpPr>
            </xdr:nvSpPr>
            <xdr:spPr>
              <a:xfrm>
                <a:off x="377" y="3342"/>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2" name="Line 47"/>
              <xdr:cNvSpPr>
                <a:spLocks/>
              </xdr:cNvSpPr>
            </xdr:nvSpPr>
            <xdr:spPr>
              <a:xfrm flipV="1">
                <a:off x="388" y="3321"/>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3" name="Oval 48"/>
              <xdr:cNvSpPr>
                <a:spLocks/>
              </xdr:cNvSpPr>
            </xdr:nvSpPr>
            <xdr:spPr>
              <a:xfrm>
                <a:off x="292" y="3316"/>
                <a:ext cx="8" cy="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nvGrpSpPr>
              <xdr:cNvPr id="44" name="Group 49"/>
              <xdr:cNvGrpSpPr>
                <a:grpSpLocks/>
              </xdr:cNvGrpSpPr>
            </xdr:nvGrpSpPr>
            <xdr:grpSpPr>
              <a:xfrm rot="5400000">
                <a:off x="586" y="3300"/>
                <a:ext cx="33" cy="43"/>
                <a:chOff x="114" y="3344"/>
                <a:chExt cx="33" cy="43"/>
              </a:xfrm>
              <a:solidFill>
                <a:srgbClr val="FFFFFF"/>
              </a:solidFill>
            </xdr:grpSpPr>
            <xdr:sp>
              <xdr:nvSpPr>
                <xdr:cNvPr id="45" name="Oval 50"/>
                <xdr:cNvSpPr>
                  <a:spLocks/>
                </xdr:cNvSpPr>
              </xdr:nvSpPr>
              <xdr:spPr>
                <a:xfrm>
                  <a:off x="114" y="3344"/>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6" name="Oval 51"/>
                <xdr:cNvSpPr>
                  <a:spLocks/>
                </xdr:cNvSpPr>
              </xdr:nvSpPr>
              <xdr:spPr>
                <a:xfrm>
                  <a:off x="114" y="3356"/>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47" name="Line 52"/>
              <xdr:cNvSpPr>
                <a:spLocks/>
              </xdr:cNvSpPr>
            </xdr:nvSpPr>
            <xdr:spPr>
              <a:xfrm>
                <a:off x="512" y="3322"/>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nvGrpSpPr>
              <xdr:cNvPr id="48" name="Group 63"/>
              <xdr:cNvGrpSpPr>
                <a:grpSpLocks/>
              </xdr:cNvGrpSpPr>
            </xdr:nvGrpSpPr>
            <xdr:grpSpPr>
              <a:xfrm>
                <a:off x="524" y="3318"/>
                <a:ext cx="39" cy="107"/>
                <a:chOff x="289" y="3328"/>
                <a:chExt cx="39" cy="107"/>
              </a:xfrm>
              <a:solidFill>
                <a:srgbClr val="FFFFFF"/>
              </a:solidFill>
            </xdr:grpSpPr>
            <xdr:grpSp>
              <xdr:nvGrpSpPr>
                <xdr:cNvPr id="49" name="Group 53"/>
                <xdr:cNvGrpSpPr>
                  <a:grpSpLocks/>
                </xdr:cNvGrpSpPr>
              </xdr:nvGrpSpPr>
              <xdr:grpSpPr>
                <a:xfrm>
                  <a:off x="289" y="3372"/>
                  <a:ext cx="39" cy="12"/>
                  <a:chOff x="277" y="3336"/>
                  <a:chExt cx="39" cy="12"/>
                </a:xfrm>
                <a:solidFill>
                  <a:srgbClr val="FFFFFF"/>
                </a:solidFill>
              </xdr:grpSpPr>
              <xdr:sp>
                <xdr:nvSpPr>
                  <xdr:cNvPr id="50" name="Line 54"/>
                  <xdr:cNvSpPr>
                    <a:spLocks/>
                  </xdr:cNvSpPr>
                </xdr:nvSpPr>
                <xdr:spPr>
                  <a:xfrm>
                    <a:off x="277" y="3336"/>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1" name="Line 55"/>
                  <xdr:cNvSpPr>
                    <a:spLocks/>
                  </xdr:cNvSpPr>
                </xdr:nvSpPr>
                <xdr:spPr>
                  <a:xfrm>
                    <a:off x="277" y="3348"/>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grpSp>
              <xdr:nvGrpSpPr>
                <xdr:cNvPr id="52" name="Group 56"/>
                <xdr:cNvGrpSpPr>
                  <a:grpSpLocks/>
                </xdr:cNvGrpSpPr>
              </xdr:nvGrpSpPr>
              <xdr:grpSpPr>
                <a:xfrm>
                  <a:off x="293" y="3384"/>
                  <a:ext cx="32" cy="51"/>
                  <a:chOff x="117" y="3399"/>
                  <a:chExt cx="32" cy="51"/>
                </a:xfrm>
                <a:solidFill>
                  <a:srgbClr val="FFFFFF"/>
                </a:solidFill>
              </xdr:grpSpPr>
              <xdr:grpSp>
                <xdr:nvGrpSpPr>
                  <xdr:cNvPr id="53" name="Group 57"/>
                  <xdr:cNvGrpSpPr>
                    <a:grpSpLocks/>
                  </xdr:cNvGrpSpPr>
                </xdr:nvGrpSpPr>
                <xdr:grpSpPr>
                  <a:xfrm>
                    <a:off x="117" y="3436"/>
                    <a:ext cx="32" cy="14"/>
                    <a:chOff x="103" y="3400"/>
                    <a:chExt cx="32" cy="14"/>
                  </a:xfrm>
                  <a:solidFill>
                    <a:srgbClr val="FFFFFF"/>
                  </a:solidFill>
                </xdr:grpSpPr>
                <xdr:sp>
                  <xdr:nvSpPr>
                    <xdr:cNvPr id="54" name="Line 58"/>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5" name="Line 59"/>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6" name="Line 60"/>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57" name="Line 61"/>
                  <xdr:cNvSpPr>
                    <a:spLocks/>
                  </xdr:cNvSpPr>
                </xdr:nvSpPr>
                <xdr:spPr>
                  <a:xfrm flipV="1">
                    <a:off x="132" y="339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58" name="Oval 62"/>
                <xdr:cNvSpPr>
                  <a:spLocks/>
                </xdr:cNvSpPr>
              </xdr:nvSpPr>
              <xdr:spPr>
                <a:xfrm>
                  <a:off x="304" y="3328"/>
                  <a:ext cx="8" cy="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59" name="Line 64"/>
              <xdr:cNvSpPr>
                <a:spLocks/>
              </xdr:cNvSpPr>
            </xdr:nvSpPr>
            <xdr:spPr>
              <a:xfrm flipV="1">
                <a:off x="543" y="3322"/>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60" name="TextBox 65"/>
              <xdr:cNvSpPr txBox="1">
                <a:spLocks noChangeArrowheads="1"/>
              </xdr:cNvSpPr>
            </xdr:nvSpPr>
            <xdr:spPr>
              <a:xfrm>
                <a:off x="321" y="3234"/>
                <a:ext cx="107" cy="19"/>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Radiation(Ta,Td)</a:t>
                </a:r>
              </a:p>
            </xdr:txBody>
          </xdr:sp>
          <xdr:sp>
            <xdr:nvSpPr>
              <xdr:cNvPr id="61" name="TextBox 66"/>
              <xdr:cNvSpPr txBox="1">
                <a:spLocks noChangeArrowheads="1"/>
              </xdr:cNvSpPr>
            </xdr:nvSpPr>
            <xdr:spPr>
              <a:xfrm>
                <a:off x="571" y="3274"/>
                <a:ext cx="107" cy="19"/>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Cooling(Tc)</a:t>
                </a:r>
              </a:p>
            </xdr:txBody>
          </xdr:sp>
          <xdr:sp>
            <xdr:nvSpPr>
              <xdr:cNvPr id="62" name="TextBox 67"/>
              <xdr:cNvSpPr txBox="1">
                <a:spLocks noChangeArrowheads="1"/>
              </xdr:cNvSpPr>
            </xdr:nvSpPr>
            <xdr:spPr>
              <a:xfrm>
                <a:off x="306" y="3294"/>
                <a:ext cx="27" cy="19"/>
              </a:xfrm>
              <a:prstGeom prst="rect">
                <a:avLst/>
              </a:prstGeom>
              <a:solidFill>
                <a:srgbClr val="FFFFFF"/>
              </a:solidFill>
              <a:ln w="9525" cmpd="sng">
                <a:noFill/>
              </a:ln>
            </xdr:spPr>
            <xdr:txBody>
              <a:bodyPr vertOverflow="clip" wrap="square"/>
              <a:p>
                <a:pPr algn="ctr">
                  <a:defRPr/>
                </a:pPr>
                <a:r>
                  <a:rPr lang="en-US" cap="none" sz="1200" b="1" i="0" u="none" baseline="0">
                    <a:latin typeface="Verdana"/>
                    <a:ea typeface="Verdana"/>
                    <a:cs typeface="Verdana"/>
                  </a:rPr>
                  <a:t>Td</a:t>
                </a:r>
              </a:p>
            </xdr:txBody>
          </xdr:sp>
          <xdr:sp>
            <xdr:nvSpPr>
              <xdr:cNvPr id="63" name="TextBox 68"/>
              <xdr:cNvSpPr txBox="1">
                <a:spLocks noChangeArrowheads="1"/>
              </xdr:cNvSpPr>
            </xdr:nvSpPr>
            <xdr:spPr>
              <a:xfrm>
                <a:off x="528" y="3290"/>
                <a:ext cx="27" cy="19"/>
              </a:xfrm>
              <a:prstGeom prst="rect">
                <a:avLst/>
              </a:prstGeom>
              <a:solidFill>
                <a:srgbClr val="FFFFFF"/>
              </a:solidFill>
              <a:ln w="9525" cmpd="sng">
                <a:noFill/>
              </a:ln>
            </xdr:spPr>
            <xdr:txBody>
              <a:bodyPr vertOverflow="clip" wrap="square"/>
              <a:p>
                <a:pPr algn="ctr">
                  <a:defRPr/>
                </a:pPr>
                <a:r>
                  <a:rPr lang="en-US" cap="none" sz="1200" b="1" i="0" u="none" baseline="0">
                    <a:latin typeface="Verdana"/>
                    <a:ea typeface="Verdana"/>
                    <a:cs typeface="Verdana"/>
                  </a:rPr>
                  <a:t>Tc</a:t>
                </a:r>
              </a:p>
            </xdr:txBody>
          </xdr:sp>
          <xdr:sp>
            <xdr:nvSpPr>
              <xdr:cNvPr id="64" name="TextBox 69"/>
              <xdr:cNvSpPr txBox="1">
                <a:spLocks noChangeArrowheads="1"/>
              </xdr:cNvSpPr>
            </xdr:nvSpPr>
            <xdr:spPr>
              <a:xfrm>
                <a:off x="263" y="3379"/>
                <a:ext cx="25" cy="23"/>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Cd</a:t>
                </a:r>
              </a:p>
            </xdr:txBody>
          </xdr:sp>
          <xdr:sp>
            <xdr:nvSpPr>
              <xdr:cNvPr id="65" name="TextBox 70"/>
              <xdr:cNvSpPr txBox="1">
                <a:spLocks noChangeArrowheads="1"/>
              </xdr:cNvSpPr>
            </xdr:nvSpPr>
            <xdr:spPr>
              <a:xfrm>
                <a:off x="510" y="3380"/>
                <a:ext cx="25" cy="23"/>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Cc</a:t>
                </a:r>
              </a:p>
            </xdr:txBody>
          </xdr:sp>
        </xdr:grpSp>
        <xdr:sp>
          <xdr:nvSpPr>
            <xdr:cNvPr id="66" name="Line 73"/>
            <xdr:cNvSpPr>
              <a:spLocks/>
            </xdr:cNvSpPr>
          </xdr:nvSpPr>
          <xdr:spPr>
            <a:xfrm>
              <a:off x="268" y="3230"/>
              <a:ext cx="0" cy="32"/>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67" name="Line 74"/>
            <xdr:cNvSpPr>
              <a:spLocks/>
            </xdr:cNvSpPr>
          </xdr:nvSpPr>
          <xdr:spPr>
            <a:xfrm rot="16200000">
              <a:off x="586" y="3343"/>
              <a:ext cx="32"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grpSp>
      <xdr:sp>
        <xdr:nvSpPr>
          <xdr:cNvPr id="68" name="TextBox 76"/>
          <xdr:cNvSpPr txBox="1">
            <a:spLocks noChangeArrowheads="1"/>
          </xdr:cNvSpPr>
        </xdr:nvSpPr>
        <xdr:spPr>
          <a:xfrm>
            <a:off x="393" y="3415"/>
            <a:ext cx="65" cy="30"/>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idealized servo</a:t>
            </a:r>
          </a:p>
        </xdr:txBody>
      </xdr:sp>
    </xdr:grpSp>
    <xdr:clientData/>
  </xdr:twoCellAnchor>
  <xdr:twoCellAnchor>
    <xdr:from>
      <xdr:col>0</xdr:col>
      <xdr:colOff>247650</xdr:colOff>
      <xdr:row>273</xdr:row>
      <xdr:rowOff>95250</xdr:rowOff>
    </xdr:from>
    <xdr:to>
      <xdr:col>5</xdr:col>
      <xdr:colOff>600075</xdr:colOff>
      <xdr:row>280</xdr:row>
      <xdr:rowOff>95250</xdr:rowOff>
    </xdr:to>
    <xdr:sp>
      <xdr:nvSpPr>
        <xdr:cNvPr id="69" name="TextBox 79"/>
        <xdr:cNvSpPr txBox="1">
          <a:spLocks noChangeArrowheads="1"/>
        </xdr:cNvSpPr>
      </xdr:nvSpPr>
      <xdr:spPr>
        <a:xfrm>
          <a:off x="247650" y="44881800"/>
          <a:ext cx="5191125" cy="1133475"/>
        </a:xfrm>
        <a:prstGeom prst="rect">
          <a:avLst/>
        </a:prstGeom>
        <a:solidFill>
          <a:srgbClr val="FFFFFF"/>
        </a:solidFill>
        <a:ln w="9525" cmpd="sng">
          <a:solidFill>
            <a:srgbClr val="000000"/>
          </a:solidFill>
          <a:headEnd type="none"/>
          <a:tailEnd type="none"/>
        </a:ln>
      </xdr:spPr>
      <xdr:txBody>
        <a:bodyPr vertOverflow="clip" wrap="square" lIns="182880" tIns="182880" rIns="182880" bIns="182880" anchor="ctr"/>
        <a:p>
          <a:pPr algn="ctr">
            <a:defRPr/>
          </a:pPr>
          <a:r>
            <a:rPr lang="en-US" cap="none" sz="1400" b="0" i="0" u="none" baseline="0">
              <a:latin typeface="Verdana"/>
              <a:ea typeface="Verdana"/>
              <a:cs typeface="Verdana"/>
            </a:rPr>
            <a:t>Note that radiative load on window will be reduced some by radiative cooling of the window.  How significant is this?  I.e. what is the expected temperature profile on the inner surface?</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0.5105</cdr:x>
      <cdr:y>0.49725</cdr:y>
    </cdr:from>
    <cdr:to>
      <cdr:x>0.542</cdr:x>
      <cdr:y>0.54075</cdr:y>
    </cdr:to>
    <cdr:sp>
      <cdr:nvSpPr>
        <cdr:cNvPr id="1" name="TextBox 1"/>
        <cdr:cNvSpPr txBox="1">
          <a:spLocks noChangeArrowheads="1"/>
        </cdr:cNvSpPr>
      </cdr:nvSpPr>
      <cdr:spPr>
        <a:xfrm>
          <a:off x="2628900" y="2505075"/>
          <a:ext cx="161925" cy="219075"/>
        </a:xfrm>
        <a:prstGeom prst="rect">
          <a:avLst/>
        </a:prstGeom>
        <a:noFill/>
        <a:ln w="1" cmpd="sng">
          <a:noFill/>
        </a:ln>
      </cdr:spPr>
      <cdr:txBody>
        <a:bodyPr vertOverflow="clip" wrap="square" anchor="ctr">
          <a:spAutoFit/>
        </a:bodyPr>
        <a:p>
          <a:pPr algn="ctr">
            <a:defRPr/>
          </a:pPr>
          <a:r>
            <a:rPr lang="en-US" cap="none" sz="1000" b="0" i="0" u="none" baseline="0">
              <a:latin typeface="Verdana"/>
              <a:ea typeface="Verdana"/>
              <a:cs typeface="Verdana"/>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14</xdr:row>
      <xdr:rowOff>123825</xdr:rowOff>
    </xdr:from>
    <xdr:to>
      <xdr:col>14</xdr:col>
      <xdr:colOff>295275</xdr:colOff>
      <xdr:row>45</xdr:row>
      <xdr:rowOff>152400</xdr:rowOff>
    </xdr:to>
    <xdr:graphicFrame>
      <xdr:nvGraphicFramePr>
        <xdr:cNvPr id="1" name="Chart 1"/>
        <xdr:cNvGraphicFramePr/>
      </xdr:nvGraphicFramePr>
      <xdr:xfrm>
        <a:off x="6457950" y="2390775"/>
        <a:ext cx="5153025" cy="5048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75"/>
  <sheetViews>
    <sheetView zoomScale="125" zoomScaleNormal="125" workbookViewId="0" topLeftCell="A1">
      <selection activeCell="B16" sqref="B16"/>
    </sheetView>
  </sheetViews>
  <sheetFormatPr defaultColWidth="11.00390625" defaultRowHeight="12.75"/>
  <cols>
    <col min="1" max="1" width="23.75390625" style="0" customWidth="1"/>
    <col min="2" max="2" width="13.00390625" style="0" customWidth="1"/>
    <col min="7" max="8" width="12.00390625" style="0" bestFit="1" customWidth="1"/>
  </cols>
  <sheetData>
    <row r="1" ht="18">
      <c r="A1" s="8" t="s">
        <v>151</v>
      </c>
    </row>
    <row r="2" ht="22.5">
      <c r="A2" s="5" t="s">
        <v>25</v>
      </c>
    </row>
    <row r="3" ht="12.75">
      <c r="A3" t="s">
        <v>216</v>
      </c>
    </row>
    <row r="4" ht="12.75">
      <c r="A4" t="s">
        <v>217</v>
      </c>
    </row>
    <row r="5" ht="12.75">
      <c r="A5" t="s">
        <v>218</v>
      </c>
    </row>
    <row r="7" spans="1:2" ht="12.75">
      <c r="A7" t="s">
        <v>219</v>
      </c>
      <c r="B7">
        <v>6</v>
      </c>
    </row>
    <row r="8" spans="1:2" ht="12.75">
      <c r="A8" t="s">
        <v>220</v>
      </c>
      <c r="B8">
        <v>2</v>
      </c>
    </row>
    <row r="9" spans="1:3" ht="12.75">
      <c r="A9" t="s">
        <v>224</v>
      </c>
      <c r="B9" s="3">
        <v>0.003</v>
      </c>
      <c r="C9" t="s">
        <v>215</v>
      </c>
    </row>
    <row r="10" spans="1:3" ht="12.75">
      <c r="A10" t="s">
        <v>221</v>
      </c>
      <c r="B10">
        <v>2048</v>
      </c>
      <c r="C10" t="s">
        <v>23</v>
      </c>
    </row>
    <row r="11" spans="1:2" ht="12.75">
      <c r="A11" t="s">
        <v>222</v>
      </c>
      <c r="B11">
        <v>4096</v>
      </c>
    </row>
    <row r="12" spans="1:3" ht="12.75">
      <c r="A12" t="s">
        <v>223</v>
      </c>
      <c r="B12" s="1">
        <v>1.5E-05</v>
      </c>
      <c r="C12" t="s">
        <v>19</v>
      </c>
    </row>
    <row r="14" spans="1:4" ht="12.75">
      <c r="A14" t="s">
        <v>42</v>
      </c>
      <c r="B14" s="3">
        <f>B10*B$12*B7+B$9*(B7+1)</f>
        <v>0.20532</v>
      </c>
      <c r="C14" t="s">
        <v>215</v>
      </c>
      <c r="D14" s="6" t="s">
        <v>188</v>
      </c>
    </row>
    <row r="15" spans="1:3" ht="12.75">
      <c r="A15" t="s">
        <v>187</v>
      </c>
      <c r="B15" s="3">
        <f>B11*B$12*B8+B$9*(B8+1)</f>
        <v>0.13188</v>
      </c>
      <c r="C15" t="s">
        <v>215</v>
      </c>
    </row>
    <row r="16" spans="1:3" ht="12.75">
      <c r="A16" t="s">
        <v>2</v>
      </c>
      <c r="B16" s="3">
        <f>B14*B15</f>
        <v>0.0270776016</v>
      </c>
      <c r="C16" t="s">
        <v>3</v>
      </c>
    </row>
    <row r="17" ht="12.75">
      <c r="B17" s="3"/>
    </row>
    <row r="18" spans="1:3" ht="12.75">
      <c r="A18" t="s">
        <v>28</v>
      </c>
      <c r="B18" s="1">
        <v>5.67E-08</v>
      </c>
      <c r="C18" t="s">
        <v>18</v>
      </c>
    </row>
    <row r="19" spans="1:5" ht="12.75">
      <c r="A19" t="s">
        <v>20</v>
      </c>
      <c r="B19">
        <f>295-8</f>
        <v>287</v>
      </c>
      <c r="C19" t="s">
        <v>22</v>
      </c>
      <c r="E19" t="s">
        <v>1</v>
      </c>
    </row>
    <row r="20" spans="1:3" ht="12.75">
      <c r="A20" t="s">
        <v>27</v>
      </c>
      <c r="B20" s="2">
        <f>B18*B19^4</f>
        <v>384.6897775287</v>
      </c>
      <c r="C20" t="s">
        <v>21</v>
      </c>
    </row>
    <row r="21" spans="1:2" ht="12.75" hidden="1">
      <c r="A21" t="s">
        <v>152</v>
      </c>
      <c r="B21" s="7">
        <v>1</v>
      </c>
    </row>
    <row r="22" ht="12.75" hidden="1"/>
    <row r="23" spans="1:4" ht="12.75" hidden="1">
      <c r="A23" t="s">
        <v>191</v>
      </c>
      <c r="B23" s="4">
        <f>B10*B11*B12^2*B20*B21</f>
        <v>0.7260776426914815</v>
      </c>
      <c r="C23" t="s">
        <v>24</v>
      </c>
      <c r="D23" t="s">
        <v>26</v>
      </c>
    </row>
    <row r="24" ht="12.75" hidden="1"/>
    <row r="25" spans="1:4" ht="12.75" hidden="1">
      <c r="A25" t="s">
        <v>190</v>
      </c>
      <c r="B25" s="4">
        <f>B14*B15*B20*B21</f>
        <v>10.416476535514771</v>
      </c>
      <c r="C25" t="s">
        <v>24</v>
      </c>
      <c r="D25" t="s">
        <v>189</v>
      </c>
    </row>
    <row r="26" ht="12.75" hidden="1"/>
    <row r="27" spans="1:4" ht="12.75" hidden="1">
      <c r="A27" t="s">
        <v>214</v>
      </c>
      <c r="B27">
        <v>35</v>
      </c>
      <c r="C27" t="s">
        <v>24</v>
      </c>
      <c r="D27" t="s">
        <v>192</v>
      </c>
    </row>
    <row r="28" ht="12.75" hidden="1"/>
    <row r="29" spans="1:4" ht="12.75" hidden="1">
      <c r="A29" t="s">
        <v>193</v>
      </c>
      <c r="D29" t="s">
        <v>194</v>
      </c>
    </row>
    <row r="30" ht="12.75" hidden="1">
      <c r="D30" t="s">
        <v>195</v>
      </c>
    </row>
    <row r="31" ht="12.75" hidden="1">
      <c r="D31" t="s">
        <v>150</v>
      </c>
    </row>
    <row r="32" ht="12.75" hidden="1">
      <c r="D32" t="s">
        <v>153</v>
      </c>
    </row>
    <row r="34" spans="1:2" ht="12.75">
      <c r="A34" t="s">
        <v>0</v>
      </c>
      <c r="B34">
        <v>0.9</v>
      </c>
    </row>
    <row r="35" spans="1:5" ht="12.75">
      <c r="A35" t="s">
        <v>133</v>
      </c>
      <c r="B35" s="7"/>
      <c r="C35" s="10">
        <f>B16*B20*B34^2</f>
        <v>8.437345993766966</v>
      </c>
      <c r="D35" t="s">
        <v>24</v>
      </c>
      <c r="E35" s="26"/>
    </row>
    <row r="36" spans="1:5" ht="12.75">
      <c r="A36" t="s">
        <v>32</v>
      </c>
      <c r="B36" s="24">
        <v>0.03</v>
      </c>
      <c r="C36" s="10">
        <f>2*PI()*(9.5/39.37)^2+16/39.37*2*PI()*(9.5/39.37)</f>
        <v>0.9820030224991126</v>
      </c>
      <c r="D36" t="s">
        <v>24</v>
      </c>
      <c r="E36" t="s">
        <v>16</v>
      </c>
    </row>
    <row r="37" spans="1:5" ht="12.75">
      <c r="A37" t="s">
        <v>140</v>
      </c>
      <c r="C37">
        <v>2</v>
      </c>
      <c r="D37" t="s">
        <v>24</v>
      </c>
      <c r="E37" t="s">
        <v>136</v>
      </c>
    </row>
    <row r="38" spans="1:5" ht="12.75">
      <c r="A38" t="s">
        <v>33</v>
      </c>
      <c r="B38">
        <v>0.15</v>
      </c>
      <c r="C38">
        <f>B38*B7*B8</f>
        <v>1.7999999999999998</v>
      </c>
      <c r="D38" t="s">
        <v>24</v>
      </c>
      <c r="E38" t="s">
        <v>134</v>
      </c>
    </row>
    <row r="39" spans="1:5" ht="12.75">
      <c r="A39" t="s">
        <v>34</v>
      </c>
      <c r="B39">
        <v>0.03</v>
      </c>
      <c r="C39" s="10">
        <f>B39*B7*B8</f>
        <v>0.36</v>
      </c>
      <c r="D39" t="s">
        <v>24</v>
      </c>
      <c r="E39" t="s">
        <v>127</v>
      </c>
    </row>
    <row r="40" spans="1:5" ht="12.75">
      <c r="A40" t="s">
        <v>130</v>
      </c>
      <c r="C40" s="10">
        <f>C35/2</f>
        <v>4.218672996883483</v>
      </c>
      <c r="D40" t="s">
        <v>24</v>
      </c>
      <c r="E40" t="s">
        <v>135</v>
      </c>
    </row>
    <row r="41" spans="1:4" ht="12.75">
      <c r="A41" s="22" t="s">
        <v>128</v>
      </c>
      <c r="B41" s="14"/>
      <c r="C41" s="25">
        <f>SUM(C35:C40)</f>
        <v>17.798022013149563</v>
      </c>
      <c r="D41" s="14" t="s">
        <v>24</v>
      </c>
    </row>
    <row r="43" spans="1:8" ht="12.75">
      <c r="A43" t="s">
        <v>129</v>
      </c>
      <c r="H43" s="17"/>
    </row>
    <row r="44" spans="7:9" ht="12.75">
      <c r="G44" t="s">
        <v>11</v>
      </c>
      <c r="H44" s="10">
        <f>C35+C39+C40</f>
        <v>13.016018990650448</v>
      </c>
      <c r="I44" t="s">
        <v>24</v>
      </c>
    </row>
    <row r="45" spans="7:10" ht="12.75">
      <c r="G45" t="s">
        <v>10</v>
      </c>
      <c r="H45" s="10">
        <f>H44*H54*2*16</f>
        <v>9.336928681343093</v>
      </c>
      <c r="I45" t="s">
        <v>139</v>
      </c>
      <c r="J45" t="s">
        <v>141</v>
      </c>
    </row>
    <row r="46" spans="7:9" ht="12.75">
      <c r="G46" t="s">
        <v>14</v>
      </c>
      <c r="H46" s="13">
        <f>PI()*(9.5/39.37)^2</f>
        <v>0.18292213164199156</v>
      </c>
      <c r="I46" t="s">
        <v>131</v>
      </c>
    </row>
    <row r="47" spans="7:9" ht="12.75">
      <c r="G47" t="s">
        <v>15</v>
      </c>
      <c r="H47" s="13">
        <f>H45/1000/H46</f>
        <v>0.05104318759862795</v>
      </c>
      <c r="I47" t="s">
        <v>215</v>
      </c>
    </row>
    <row r="48" spans="8:9" ht="12.75">
      <c r="H48" s="10">
        <f>39.37*H47</f>
        <v>2.009570295757982</v>
      </c>
      <c r="I48" t="s">
        <v>13</v>
      </c>
    </row>
    <row r="49" ht="12.75">
      <c r="G49" s="1" t="s">
        <v>4</v>
      </c>
    </row>
    <row r="50" spans="7:9" ht="12.75">
      <c r="G50" s="28" t="s">
        <v>12</v>
      </c>
      <c r="H50">
        <v>0.807</v>
      </c>
      <c r="I50" t="s">
        <v>6</v>
      </c>
    </row>
    <row r="51" spans="7:9" ht="12.75">
      <c r="G51" s="27" t="s">
        <v>17</v>
      </c>
      <c r="H51">
        <v>199</v>
      </c>
      <c r="I51" t="s">
        <v>5</v>
      </c>
    </row>
    <row r="52" spans="8:9" ht="12.75">
      <c r="H52" s="10">
        <f>H51*H50</f>
        <v>160.59300000000002</v>
      </c>
      <c r="I52" t="s">
        <v>7</v>
      </c>
    </row>
    <row r="53" spans="7:9" ht="12.75">
      <c r="G53" s="1"/>
      <c r="H53" s="10">
        <f>H52*1000/3600</f>
        <v>44.609166666666674</v>
      </c>
      <c r="I53" t="s">
        <v>8</v>
      </c>
    </row>
    <row r="54" spans="8:9" ht="12.75">
      <c r="H54" s="17">
        <f>1/H53</f>
        <v>0.022416917300255922</v>
      </c>
      <c r="I54" t="s">
        <v>9</v>
      </c>
    </row>
    <row r="74" spans="1:2" ht="12.75">
      <c r="A74" t="s">
        <v>131</v>
      </c>
      <c r="B74">
        <f>(2048*0.024/1000)^2</f>
        <v>0.0024159191040000003</v>
      </c>
    </row>
    <row r="75" spans="1:2" ht="12.75">
      <c r="A75" t="s">
        <v>132</v>
      </c>
      <c r="B75">
        <f>B74*B20</f>
        <v>0.9293793826450963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43"/>
  <sheetViews>
    <sheetView workbookViewId="0" topLeftCell="A1">
      <selection activeCell="M90" sqref="M90"/>
    </sheetView>
  </sheetViews>
  <sheetFormatPr defaultColWidth="11.00390625" defaultRowHeight="12.75"/>
  <cols>
    <col min="1" max="1" width="21.00390625" style="0" customWidth="1"/>
    <col min="5" max="5" width="12.375" style="0" customWidth="1"/>
    <col min="7" max="7" width="9.375" style="0" customWidth="1"/>
    <col min="8" max="8" width="10.125" style="0" customWidth="1"/>
  </cols>
  <sheetData>
    <row r="1" spans="1:2" ht="18">
      <c r="A1" s="29" t="s">
        <v>36</v>
      </c>
      <c r="B1" s="29"/>
    </row>
    <row r="5" ht="15">
      <c r="A5" s="30" t="s">
        <v>37</v>
      </c>
    </row>
    <row r="7" spans="1:5" ht="12.75">
      <c r="A7" t="s">
        <v>39</v>
      </c>
      <c r="C7" t="s">
        <v>173</v>
      </c>
      <c r="D7">
        <v>295</v>
      </c>
      <c r="E7" t="s">
        <v>22</v>
      </c>
    </row>
    <row r="8" spans="1:5" ht="12.75">
      <c r="A8" t="s">
        <v>38</v>
      </c>
      <c r="C8" t="s">
        <v>167</v>
      </c>
      <c r="D8" s="41">
        <v>175</v>
      </c>
      <c r="E8" t="s">
        <v>22</v>
      </c>
    </row>
    <row r="9" spans="1:4" ht="12.75">
      <c r="A9" t="s">
        <v>174</v>
      </c>
      <c r="C9" t="s">
        <v>175</v>
      </c>
      <c r="D9" t="s">
        <v>206</v>
      </c>
    </row>
    <row r="11" spans="1:5" ht="12.75">
      <c r="A11" t="s">
        <v>165</v>
      </c>
      <c r="C11" t="s">
        <v>166</v>
      </c>
      <c r="D11" s="10">
        <f>(175-123)/4</f>
        <v>13</v>
      </c>
      <c r="E11" t="s">
        <v>207</v>
      </c>
    </row>
    <row r="12" spans="1:5" ht="12.75">
      <c r="A12" t="s">
        <v>209</v>
      </c>
      <c r="C12" t="s">
        <v>210</v>
      </c>
      <c r="D12" s="34">
        <f>(175-77)/(0.15*12)</f>
        <v>54.44444444444445</v>
      </c>
      <c r="E12" t="s">
        <v>207</v>
      </c>
    </row>
    <row r="13" spans="1:5" ht="12.75">
      <c r="A13" t="s">
        <v>208</v>
      </c>
      <c r="C13" t="s">
        <v>211</v>
      </c>
      <c r="D13" s="33">
        <v>200</v>
      </c>
      <c r="E13" t="s">
        <v>207</v>
      </c>
    </row>
    <row r="15" spans="1:5" ht="12.75">
      <c r="A15" t="s">
        <v>177</v>
      </c>
      <c r="C15" t="s">
        <v>178</v>
      </c>
      <c r="D15" s="1">
        <v>5.669E-08</v>
      </c>
      <c r="E15" t="s">
        <v>179</v>
      </c>
    </row>
    <row r="16" spans="1:4" ht="12.75">
      <c r="A16" t="s">
        <v>163</v>
      </c>
      <c r="C16" t="s">
        <v>172</v>
      </c>
      <c r="D16" s="12">
        <v>0.1</v>
      </c>
    </row>
    <row r="17" spans="1:4" ht="12.75">
      <c r="A17" t="s">
        <v>99</v>
      </c>
      <c r="C17" t="s">
        <v>92</v>
      </c>
      <c r="D17" s="40">
        <v>0.95</v>
      </c>
    </row>
    <row r="18" spans="1:4" ht="12.75">
      <c r="A18" t="s">
        <v>40</v>
      </c>
      <c r="C18" t="s">
        <v>169</v>
      </c>
      <c r="D18" s="12">
        <v>0.5</v>
      </c>
    </row>
    <row r="19" spans="1:4" ht="12.75">
      <c r="A19" t="s">
        <v>41</v>
      </c>
      <c r="C19" t="s">
        <v>168</v>
      </c>
      <c r="D19" s="12">
        <v>0.95</v>
      </c>
    </row>
    <row r="20" spans="1:5" ht="12.75">
      <c r="A20" t="s">
        <v>164</v>
      </c>
      <c r="C20" t="s">
        <v>171</v>
      </c>
      <c r="D20" s="19">
        <f>2*D21</f>
        <v>0.0541552032</v>
      </c>
      <c r="E20" t="s">
        <v>131</v>
      </c>
    </row>
    <row r="21" spans="1:5" ht="12.75">
      <c r="A21" t="s">
        <v>212</v>
      </c>
      <c r="C21" t="s">
        <v>170</v>
      </c>
      <c r="D21" s="17">
        <f>radiation!B16</f>
        <v>0.0270776016</v>
      </c>
      <c r="E21" t="s">
        <v>131</v>
      </c>
    </row>
    <row r="23" ht="12.75">
      <c r="A23" s="14" t="s">
        <v>184</v>
      </c>
    </row>
    <row r="24" spans="1:3" ht="12.75">
      <c r="A24" s="27" t="s">
        <v>181</v>
      </c>
      <c r="C24" t="s">
        <v>91</v>
      </c>
    </row>
    <row r="25" spans="1:3" ht="12.75">
      <c r="A25" s="27" t="s">
        <v>182</v>
      </c>
      <c r="C25" t="s">
        <v>180</v>
      </c>
    </row>
    <row r="26" spans="1:3" ht="12.75">
      <c r="A26" s="27" t="s">
        <v>183</v>
      </c>
      <c r="C26" t="s">
        <v>93</v>
      </c>
    </row>
    <row r="28" spans="1:5" ht="12.75">
      <c r="A28" s="15" t="s">
        <v>101</v>
      </c>
      <c r="D28">
        <v>8030</v>
      </c>
      <c r="E28" t="s">
        <v>102</v>
      </c>
    </row>
    <row r="29" spans="1:5" ht="12.75">
      <c r="A29" s="15" t="s">
        <v>103</v>
      </c>
      <c r="D29">
        <f>D21*1.2*0.03</f>
        <v>0.0009747936575999999</v>
      </c>
      <c r="E29" t="s">
        <v>104</v>
      </c>
    </row>
    <row r="30" spans="1:5" ht="12.75">
      <c r="A30" s="15" t="s">
        <v>97</v>
      </c>
      <c r="D30" s="13">
        <f>D28*D29</f>
        <v>7.827593070527999</v>
      </c>
      <c r="E30" t="s">
        <v>100</v>
      </c>
    </row>
    <row r="31" spans="1:5" ht="12.75">
      <c r="A31" t="s">
        <v>98</v>
      </c>
      <c r="D31">
        <v>504</v>
      </c>
      <c r="E31" t="s">
        <v>105</v>
      </c>
    </row>
    <row r="32" spans="1:5" ht="12.75">
      <c r="A32" s="15" t="s">
        <v>106</v>
      </c>
      <c r="D32" s="2">
        <f>D31*D30</f>
        <v>3945.1069075461114</v>
      </c>
      <c r="E32" t="s">
        <v>94</v>
      </c>
    </row>
    <row r="34" ht="12.75">
      <c r="A34" s="15" t="s">
        <v>213</v>
      </c>
    </row>
    <row r="35" ht="12.75">
      <c r="A35" s="27" t="s">
        <v>89</v>
      </c>
    </row>
    <row r="46" spans="1:10" ht="39">
      <c r="A46" s="31" t="s">
        <v>202</v>
      </c>
      <c r="B46" s="9" t="s">
        <v>137</v>
      </c>
      <c r="C46" s="31" t="s">
        <v>198</v>
      </c>
      <c r="D46" s="31" t="s">
        <v>199</v>
      </c>
      <c r="E46" s="31" t="s">
        <v>200</v>
      </c>
      <c r="F46" s="31" t="s">
        <v>201</v>
      </c>
      <c r="G46" s="31" t="s">
        <v>138</v>
      </c>
      <c r="H46" s="31" t="s">
        <v>35</v>
      </c>
      <c r="I46" s="31" t="s">
        <v>205</v>
      </c>
      <c r="J46" s="31" t="s">
        <v>90</v>
      </c>
    </row>
    <row r="47" spans="1:10" ht="12.75">
      <c r="A47" s="9" t="s">
        <v>203</v>
      </c>
      <c r="B47" s="9" t="s">
        <v>204</v>
      </c>
      <c r="C47" s="9" t="s">
        <v>204</v>
      </c>
      <c r="D47" s="9" t="s">
        <v>204</v>
      </c>
      <c r="E47" s="9" t="s">
        <v>204</v>
      </c>
      <c r="F47" s="9" t="s">
        <v>204</v>
      </c>
      <c r="G47" s="9" t="s">
        <v>204</v>
      </c>
      <c r="H47" s="9" t="s">
        <v>95</v>
      </c>
      <c r="I47" s="9" t="s">
        <v>108</v>
      </c>
      <c r="J47" s="9" t="s">
        <v>107</v>
      </c>
    </row>
    <row r="48" spans="1:10" ht="12.75">
      <c r="A48" s="14">
        <v>105</v>
      </c>
      <c r="B48" s="14">
        <v>0</v>
      </c>
      <c r="C48" s="13">
        <f>(D$7-A48)*(1/D$12+1/D$13)</f>
        <v>4.439795918367347</v>
      </c>
      <c r="D48" s="13">
        <f>MAX((D$8-A48)/D$11,0)</f>
        <v>5.384615384615385</v>
      </c>
      <c r="E48" s="13">
        <f>D$15*(D$18*D$20*D$16+D$19*D$21*D$17)*(D$7^4-MAX(A48,D$8)^4)</f>
        <v>10.211089148423277</v>
      </c>
      <c r="F48" s="13">
        <f>SUM(C48:E48)</f>
        <v>20.03550045140601</v>
      </c>
      <c r="G48" s="13">
        <f>B48-F48</f>
        <v>-20.03550045140601</v>
      </c>
      <c r="H48" s="2">
        <f aca="true" t="shared" si="0" ref="H48:H111">H49</f>
        <v>3945.1069075461114</v>
      </c>
      <c r="I48" s="13">
        <f>H48/G48/3600</f>
        <v>-0.0546960647442683</v>
      </c>
      <c r="J48" s="10">
        <f aca="true" t="shared" si="1" ref="J48:J111">J49+I49</f>
        <v>24.842961016392216</v>
      </c>
    </row>
    <row r="49" spans="1:10" ht="12.75">
      <c r="A49">
        <f>A48+1</f>
        <v>106</v>
      </c>
      <c r="B49" s="10">
        <f>(A49-A$48)/(A$66-A$48)*(B$66-B$48)+B$48</f>
        <v>0.8333333333333333</v>
      </c>
      <c r="C49" s="13">
        <f aca="true" t="shared" si="2" ref="C49:C112">(D$7-A49)*(1/D$12+1/D$13)</f>
        <v>4.416428571428571</v>
      </c>
      <c r="D49" s="13">
        <f aca="true" t="shared" si="3" ref="D49:D112">MAX((D$8-A49)/D$11,0)</f>
        <v>5.3076923076923075</v>
      </c>
      <c r="E49" s="13">
        <f aca="true" t="shared" si="4" ref="E49:E112">D$15*(D$18*D$20*D$16+D$19*D$21*D$17)*(D$7^4-MAX(A49,D$8)^4)</f>
        <v>10.211089148423277</v>
      </c>
      <c r="F49" s="13">
        <f aca="true" t="shared" si="5" ref="F49:F112">SUM(C49:E49)</f>
        <v>19.935210027544155</v>
      </c>
      <c r="G49" s="13">
        <f aca="true" t="shared" si="6" ref="G49:G112">B49-F49</f>
        <v>-19.101876694210823</v>
      </c>
      <c r="H49" s="2">
        <f t="shared" si="0"/>
        <v>3945.1069075461114</v>
      </c>
      <c r="I49" s="13">
        <f aca="true" t="shared" si="7" ref="I49:I112">H49/G49/3600</f>
        <v>-0.05736939084137431</v>
      </c>
      <c r="J49" s="10">
        <f t="shared" si="1"/>
        <v>24.90033040723359</v>
      </c>
    </row>
    <row r="50" spans="1:10" ht="12.75">
      <c r="A50">
        <f aca="true" t="shared" si="8" ref="A50:A113">A49+1</f>
        <v>107</v>
      </c>
      <c r="B50" s="10">
        <f aca="true" t="shared" si="9" ref="B50:B65">(A50-A$48)/(A$66-A$48)*(B$66-B$48)+B$48</f>
        <v>1.6666666666666665</v>
      </c>
      <c r="C50" s="13">
        <f t="shared" si="2"/>
        <v>4.393061224489796</v>
      </c>
      <c r="D50" s="13">
        <f t="shared" si="3"/>
        <v>5.230769230769231</v>
      </c>
      <c r="E50" s="13">
        <f t="shared" si="4"/>
        <v>10.211089148423277</v>
      </c>
      <c r="F50" s="13">
        <f t="shared" si="5"/>
        <v>19.8349196036823</v>
      </c>
      <c r="G50" s="13">
        <f t="shared" si="6"/>
        <v>-18.168252937015634</v>
      </c>
      <c r="H50" s="2">
        <f t="shared" si="0"/>
        <v>3945.1069075461114</v>
      </c>
      <c r="I50" s="13">
        <f t="shared" si="7"/>
        <v>-0.06031746881073141</v>
      </c>
      <c r="J50" s="10">
        <f t="shared" si="1"/>
        <v>24.96064787604432</v>
      </c>
    </row>
    <row r="51" spans="1:10" ht="12.75">
      <c r="A51">
        <f t="shared" si="8"/>
        <v>108</v>
      </c>
      <c r="B51" s="10">
        <f t="shared" si="9"/>
        <v>2.5</v>
      </c>
      <c r="C51" s="13">
        <f t="shared" si="2"/>
        <v>4.36969387755102</v>
      </c>
      <c r="D51" s="13">
        <f t="shared" si="3"/>
        <v>5.153846153846154</v>
      </c>
      <c r="E51" s="13">
        <f t="shared" si="4"/>
        <v>10.211089148423277</v>
      </c>
      <c r="F51" s="13">
        <f t="shared" si="5"/>
        <v>19.734629179820452</v>
      </c>
      <c r="G51" s="13">
        <f t="shared" si="6"/>
        <v>-17.234629179820452</v>
      </c>
      <c r="H51" s="2">
        <f t="shared" si="0"/>
        <v>3945.1069075461114</v>
      </c>
      <c r="I51" s="13">
        <f t="shared" si="7"/>
        <v>-0.06358494972186784</v>
      </c>
      <c r="J51" s="10">
        <f t="shared" si="1"/>
        <v>25.024232825766187</v>
      </c>
    </row>
    <row r="52" spans="1:10" ht="12.75">
      <c r="A52">
        <f t="shared" si="8"/>
        <v>109</v>
      </c>
      <c r="B52" s="10">
        <f t="shared" si="9"/>
        <v>3.333333333333333</v>
      </c>
      <c r="C52" s="13">
        <f t="shared" si="2"/>
        <v>4.346326530612245</v>
      </c>
      <c r="D52" s="13">
        <f t="shared" si="3"/>
        <v>5.076923076923077</v>
      </c>
      <c r="E52" s="13">
        <f t="shared" si="4"/>
        <v>10.211089148423277</v>
      </c>
      <c r="F52" s="13">
        <f t="shared" si="5"/>
        <v>19.6343387559586</v>
      </c>
      <c r="G52" s="13">
        <f t="shared" si="6"/>
        <v>-16.301005422625266</v>
      </c>
      <c r="H52" s="2">
        <f t="shared" si="0"/>
        <v>3945.1069075461114</v>
      </c>
      <c r="I52" s="13">
        <f t="shared" si="7"/>
        <v>-0.06722671402543658</v>
      </c>
      <c r="J52" s="10">
        <f t="shared" si="1"/>
        <v>25.091459539791625</v>
      </c>
    </row>
    <row r="53" spans="1:10" ht="12.75">
      <c r="A53">
        <f t="shared" si="8"/>
        <v>110</v>
      </c>
      <c r="B53" s="10">
        <f t="shared" si="9"/>
        <v>4.166666666666667</v>
      </c>
      <c r="C53" s="13">
        <f t="shared" si="2"/>
        <v>4.322959183673469</v>
      </c>
      <c r="D53" s="13">
        <f t="shared" si="3"/>
        <v>5</v>
      </c>
      <c r="E53" s="13">
        <f t="shared" si="4"/>
        <v>10.211089148423277</v>
      </c>
      <c r="F53" s="13">
        <f t="shared" si="5"/>
        <v>19.534048332096745</v>
      </c>
      <c r="G53" s="13">
        <f t="shared" si="6"/>
        <v>-15.367381665430077</v>
      </c>
      <c r="H53" s="2">
        <f t="shared" si="0"/>
        <v>3945.1069075461114</v>
      </c>
      <c r="I53" s="13">
        <f t="shared" si="7"/>
        <v>-0.07131097891185555</v>
      </c>
      <c r="J53" s="10">
        <f t="shared" si="1"/>
        <v>25.162770518703482</v>
      </c>
    </row>
    <row r="54" spans="1:10" ht="12.75">
      <c r="A54">
        <f t="shared" si="8"/>
        <v>111</v>
      </c>
      <c r="B54" s="10">
        <f t="shared" si="9"/>
        <v>5</v>
      </c>
      <c r="C54" s="13">
        <f t="shared" si="2"/>
        <v>4.2995918367346935</v>
      </c>
      <c r="D54" s="13">
        <f t="shared" si="3"/>
        <v>4.923076923076923</v>
      </c>
      <c r="E54" s="13">
        <f t="shared" si="4"/>
        <v>10.211089148423277</v>
      </c>
      <c r="F54" s="13">
        <f t="shared" si="5"/>
        <v>19.433757908234895</v>
      </c>
      <c r="G54" s="13">
        <f t="shared" si="6"/>
        <v>-14.433757908234895</v>
      </c>
      <c r="H54" s="2">
        <f t="shared" si="0"/>
        <v>3945.1069075461114</v>
      </c>
      <c r="I54" s="13">
        <f t="shared" si="7"/>
        <v>-0.07592361163607274</v>
      </c>
      <c r="J54" s="10">
        <f t="shared" si="1"/>
        <v>25.238694130339553</v>
      </c>
    </row>
    <row r="55" spans="1:10" ht="12.75">
      <c r="A55">
        <f t="shared" si="8"/>
        <v>112</v>
      </c>
      <c r="B55" s="10">
        <f t="shared" si="9"/>
        <v>5.833333333333333</v>
      </c>
      <c r="C55" s="13">
        <f t="shared" si="2"/>
        <v>4.2762244897959185</v>
      </c>
      <c r="D55" s="13">
        <f t="shared" si="3"/>
        <v>4.846153846153846</v>
      </c>
      <c r="E55" s="13">
        <f t="shared" si="4"/>
        <v>10.211089148423277</v>
      </c>
      <c r="F55" s="13">
        <f t="shared" si="5"/>
        <v>19.333467484373042</v>
      </c>
      <c r="G55" s="13">
        <f t="shared" si="6"/>
        <v>-13.50013415103971</v>
      </c>
      <c r="H55" s="2">
        <f t="shared" si="0"/>
        <v>3945.1069075461114</v>
      </c>
      <c r="I55" s="13">
        <f t="shared" si="7"/>
        <v>-0.0811742326123124</v>
      </c>
      <c r="J55" s="10">
        <f t="shared" si="1"/>
        <v>25.319868362951865</v>
      </c>
    </row>
    <row r="56" spans="1:10" ht="12.75">
      <c r="A56">
        <f t="shared" si="8"/>
        <v>113</v>
      </c>
      <c r="B56" s="10">
        <f t="shared" si="9"/>
        <v>6.666666666666666</v>
      </c>
      <c r="C56" s="13">
        <f t="shared" si="2"/>
        <v>4.252857142857143</v>
      </c>
      <c r="D56" s="13">
        <f t="shared" si="3"/>
        <v>4.769230769230769</v>
      </c>
      <c r="E56" s="13">
        <f t="shared" si="4"/>
        <v>10.211089148423277</v>
      </c>
      <c r="F56" s="13">
        <f t="shared" si="5"/>
        <v>19.23317706051119</v>
      </c>
      <c r="G56" s="13">
        <f t="shared" si="6"/>
        <v>-12.566510393844522</v>
      </c>
      <c r="H56" s="2">
        <f t="shared" si="0"/>
        <v>3945.1069075461114</v>
      </c>
      <c r="I56" s="13">
        <f t="shared" si="7"/>
        <v>-0.08720503907040959</v>
      </c>
      <c r="J56" s="10">
        <f t="shared" si="1"/>
        <v>25.407073402022274</v>
      </c>
    </row>
    <row r="57" spans="1:10" ht="12.75">
      <c r="A57">
        <f t="shared" si="8"/>
        <v>114</v>
      </c>
      <c r="B57" s="10">
        <f t="shared" si="9"/>
        <v>7.5</v>
      </c>
      <c r="C57" s="13">
        <f t="shared" si="2"/>
        <v>4.229489795918367</v>
      </c>
      <c r="D57" s="13">
        <f t="shared" si="3"/>
        <v>4.6923076923076925</v>
      </c>
      <c r="E57" s="13">
        <f t="shared" si="4"/>
        <v>10.211089148423277</v>
      </c>
      <c r="F57" s="13">
        <f t="shared" si="5"/>
        <v>19.132886636649335</v>
      </c>
      <c r="G57" s="13">
        <f t="shared" si="6"/>
        <v>-11.632886636649335</v>
      </c>
      <c r="H57" s="2">
        <f t="shared" si="0"/>
        <v>3945.1069075461114</v>
      </c>
      <c r="I57" s="13">
        <f t="shared" si="7"/>
        <v>-0.09420387768771084</v>
      </c>
      <c r="J57" s="10">
        <f t="shared" si="1"/>
        <v>25.501277279709985</v>
      </c>
    </row>
    <row r="58" spans="1:10" ht="12.75">
      <c r="A58">
        <f t="shared" si="8"/>
        <v>115</v>
      </c>
      <c r="B58" s="10">
        <f t="shared" si="9"/>
        <v>8.333333333333334</v>
      </c>
      <c r="C58" s="13">
        <f t="shared" si="2"/>
        <v>4.206122448979592</v>
      </c>
      <c r="D58" s="13">
        <f t="shared" si="3"/>
        <v>4.615384615384615</v>
      </c>
      <c r="E58" s="13">
        <f t="shared" si="4"/>
        <v>10.211089148423277</v>
      </c>
      <c r="F58" s="13">
        <f t="shared" si="5"/>
        <v>19.03259621278748</v>
      </c>
      <c r="G58" s="13">
        <f t="shared" si="6"/>
        <v>-10.699262879454148</v>
      </c>
      <c r="H58" s="2">
        <f t="shared" si="0"/>
        <v>3945.1069075461114</v>
      </c>
      <c r="I58" s="13">
        <f t="shared" si="7"/>
        <v>-0.10242416157269221</v>
      </c>
      <c r="J58" s="10">
        <f t="shared" si="1"/>
        <v>25.603701441282677</v>
      </c>
    </row>
    <row r="59" spans="1:10" ht="12.75">
      <c r="A59">
        <f t="shared" si="8"/>
        <v>116</v>
      </c>
      <c r="B59" s="10">
        <f t="shared" si="9"/>
        <v>9.166666666666668</v>
      </c>
      <c r="C59" s="13">
        <f t="shared" si="2"/>
        <v>4.182755102040816</v>
      </c>
      <c r="D59" s="13">
        <f t="shared" si="3"/>
        <v>4.538461538461538</v>
      </c>
      <c r="E59" s="13">
        <f t="shared" si="4"/>
        <v>10.211089148423277</v>
      </c>
      <c r="F59" s="13">
        <f t="shared" si="5"/>
        <v>18.932305788925632</v>
      </c>
      <c r="G59" s="13">
        <f t="shared" si="6"/>
        <v>-9.765639122258964</v>
      </c>
      <c r="H59" s="2">
        <f t="shared" si="0"/>
        <v>3945.1069075461114</v>
      </c>
      <c r="I59" s="13">
        <f t="shared" si="7"/>
        <v>-0.11221621198105747</v>
      </c>
      <c r="J59" s="10">
        <f t="shared" si="1"/>
        <v>25.715917653263734</v>
      </c>
    </row>
    <row r="60" spans="1:10" ht="12.75">
      <c r="A60">
        <f t="shared" si="8"/>
        <v>117</v>
      </c>
      <c r="B60" s="10">
        <f t="shared" si="9"/>
        <v>10</v>
      </c>
      <c r="C60" s="13">
        <f t="shared" si="2"/>
        <v>4.159387755102041</v>
      </c>
      <c r="D60" s="13">
        <f t="shared" si="3"/>
        <v>4.461538461538462</v>
      </c>
      <c r="E60" s="13">
        <f t="shared" si="4"/>
        <v>10.211089148423277</v>
      </c>
      <c r="F60" s="13">
        <f t="shared" si="5"/>
        <v>18.83201536506378</v>
      </c>
      <c r="G60" s="13">
        <f t="shared" si="6"/>
        <v>-8.832015365063778</v>
      </c>
      <c r="H60" s="2">
        <f t="shared" si="0"/>
        <v>3945.1069075461114</v>
      </c>
      <c r="I60" s="13">
        <f t="shared" si="7"/>
        <v>-0.12407847864585393</v>
      </c>
      <c r="J60" s="10">
        <f t="shared" si="1"/>
        <v>25.839996131909587</v>
      </c>
    </row>
    <row r="61" spans="1:10" ht="12.75">
      <c r="A61">
        <f t="shared" si="8"/>
        <v>118</v>
      </c>
      <c r="B61" s="10">
        <f t="shared" si="9"/>
        <v>10.833333333333334</v>
      </c>
      <c r="C61" s="13">
        <f t="shared" si="2"/>
        <v>4.136020408163265</v>
      </c>
      <c r="D61" s="13">
        <f t="shared" si="3"/>
        <v>4.384615384615385</v>
      </c>
      <c r="E61" s="13">
        <f t="shared" si="4"/>
        <v>10.211089148423277</v>
      </c>
      <c r="F61" s="13">
        <f t="shared" si="5"/>
        <v>18.731724941201925</v>
      </c>
      <c r="G61" s="13">
        <f t="shared" si="6"/>
        <v>-7.898391607868591</v>
      </c>
      <c r="H61" s="2">
        <f t="shared" si="0"/>
        <v>3945.1069075461114</v>
      </c>
      <c r="I61" s="13">
        <f t="shared" si="7"/>
        <v>-0.13874508688353607</v>
      </c>
      <c r="J61" s="10">
        <f t="shared" si="1"/>
        <v>25.97874121879312</v>
      </c>
    </row>
    <row r="62" spans="1:10" ht="12.75">
      <c r="A62">
        <f t="shared" si="8"/>
        <v>119</v>
      </c>
      <c r="B62" s="10">
        <f t="shared" si="9"/>
        <v>11.666666666666666</v>
      </c>
      <c r="C62" s="13">
        <f t="shared" si="2"/>
        <v>4.112653061224489</v>
      </c>
      <c r="D62" s="13">
        <f t="shared" si="3"/>
        <v>4.3076923076923075</v>
      </c>
      <c r="E62" s="13">
        <f t="shared" si="4"/>
        <v>10.211089148423277</v>
      </c>
      <c r="F62" s="13">
        <f t="shared" si="5"/>
        <v>18.631434517340075</v>
      </c>
      <c r="G62" s="13">
        <f t="shared" si="6"/>
        <v>-6.964767850673409</v>
      </c>
      <c r="H62" s="2">
        <f t="shared" si="0"/>
        <v>3945.1069075461114</v>
      </c>
      <c r="I62" s="13">
        <f t="shared" si="7"/>
        <v>-0.15734379858303002</v>
      </c>
      <c r="J62" s="10">
        <f t="shared" si="1"/>
        <v>26.136085017376153</v>
      </c>
    </row>
    <row r="63" spans="1:10" ht="12.75">
      <c r="A63">
        <f t="shared" si="8"/>
        <v>120</v>
      </c>
      <c r="B63" s="10">
        <f t="shared" si="9"/>
        <v>12.5</v>
      </c>
      <c r="C63" s="13">
        <f t="shared" si="2"/>
        <v>4.089285714285714</v>
      </c>
      <c r="D63" s="13">
        <f t="shared" si="3"/>
        <v>4.230769230769231</v>
      </c>
      <c r="E63" s="13">
        <f t="shared" si="4"/>
        <v>10.211089148423277</v>
      </c>
      <c r="F63" s="13">
        <f t="shared" si="5"/>
        <v>18.531144093478222</v>
      </c>
      <c r="G63" s="13">
        <f t="shared" si="6"/>
        <v>-6.031144093478222</v>
      </c>
      <c r="H63" s="2">
        <f t="shared" si="0"/>
        <v>3945.1069075461114</v>
      </c>
      <c r="I63" s="13">
        <f t="shared" si="7"/>
        <v>-0.18170068777811682</v>
      </c>
      <c r="J63" s="10">
        <f t="shared" si="1"/>
        <v>26.31778570515427</v>
      </c>
    </row>
    <row r="64" spans="1:10" ht="12.75">
      <c r="A64">
        <f t="shared" si="8"/>
        <v>121</v>
      </c>
      <c r="B64" s="10">
        <f t="shared" si="9"/>
        <v>13.333333333333332</v>
      </c>
      <c r="C64" s="13">
        <f t="shared" si="2"/>
        <v>4.065918367346939</v>
      </c>
      <c r="D64" s="13">
        <f t="shared" si="3"/>
        <v>4.153846153846154</v>
      </c>
      <c r="E64" s="13">
        <f t="shared" si="4"/>
        <v>10.211089148423277</v>
      </c>
      <c r="F64" s="13">
        <f t="shared" si="5"/>
        <v>18.43085366961637</v>
      </c>
      <c r="G64" s="13">
        <f t="shared" si="6"/>
        <v>-5.097520336283036</v>
      </c>
      <c r="H64" s="2">
        <f t="shared" si="0"/>
        <v>3945.1069075461114</v>
      </c>
      <c r="I64" s="13">
        <f t="shared" si="7"/>
        <v>-0.21497962883518212</v>
      </c>
      <c r="J64" s="10">
        <f t="shared" si="1"/>
        <v>26.532765333989452</v>
      </c>
    </row>
    <row r="65" spans="1:10" ht="12.75">
      <c r="A65">
        <f t="shared" si="8"/>
        <v>122</v>
      </c>
      <c r="B65" s="10">
        <f t="shared" si="9"/>
        <v>14.166666666666666</v>
      </c>
      <c r="C65" s="13">
        <f t="shared" si="2"/>
        <v>4.042551020408163</v>
      </c>
      <c r="D65" s="13">
        <f t="shared" si="3"/>
        <v>4.076923076923077</v>
      </c>
      <c r="E65" s="13">
        <f t="shared" si="4"/>
        <v>10.211089148423277</v>
      </c>
      <c r="F65" s="13">
        <f t="shared" si="5"/>
        <v>18.330563245754515</v>
      </c>
      <c r="G65" s="13">
        <f t="shared" si="6"/>
        <v>-4.163896579087849</v>
      </c>
      <c r="H65" s="2">
        <f t="shared" si="0"/>
        <v>3945.1069075461114</v>
      </c>
      <c r="I65" s="13">
        <f t="shared" si="7"/>
        <v>-0.26318209615906973</v>
      </c>
      <c r="J65" s="10">
        <f t="shared" si="1"/>
        <v>26.795947430148523</v>
      </c>
    </row>
    <row r="66" spans="1:10" ht="12.75">
      <c r="A66" s="14">
        <f t="shared" si="8"/>
        <v>123</v>
      </c>
      <c r="B66" s="14">
        <v>15</v>
      </c>
      <c r="C66" s="13">
        <f t="shared" si="2"/>
        <v>4.019183673469388</v>
      </c>
      <c r="D66" s="13">
        <f t="shared" si="3"/>
        <v>4</v>
      </c>
      <c r="E66" s="13">
        <f t="shared" si="4"/>
        <v>10.211089148423277</v>
      </c>
      <c r="F66" s="13">
        <f t="shared" si="5"/>
        <v>18.230272821892665</v>
      </c>
      <c r="G66" s="13">
        <f t="shared" si="6"/>
        <v>-3.2302728218926653</v>
      </c>
      <c r="H66" s="2">
        <f t="shared" si="0"/>
        <v>3945.1069075461114</v>
      </c>
      <c r="I66" s="13">
        <f t="shared" si="7"/>
        <v>-0.33924782527558683</v>
      </c>
      <c r="J66" s="10">
        <f t="shared" si="1"/>
        <v>27.13519525542411</v>
      </c>
    </row>
    <row r="67" spans="1:10" ht="12.75">
      <c r="A67">
        <f t="shared" si="8"/>
        <v>124</v>
      </c>
      <c r="B67" s="10">
        <f>(A67-A$66)/(A$69-A$66)*(B$69-B$66)+B$66</f>
        <v>16.666666666666668</v>
      </c>
      <c r="C67" s="13">
        <f t="shared" si="2"/>
        <v>3.995816326530612</v>
      </c>
      <c r="D67" s="13">
        <f t="shared" si="3"/>
        <v>3.923076923076923</v>
      </c>
      <c r="E67" s="13">
        <f t="shared" si="4"/>
        <v>10.211089148423277</v>
      </c>
      <c r="F67" s="13">
        <f t="shared" si="5"/>
        <v>18.129982398030812</v>
      </c>
      <c r="G67" s="13">
        <f t="shared" si="6"/>
        <v>-1.463315731364144</v>
      </c>
      <c r="H67" s="2">
        <f t="shared" si="0"/>
        <v>3945.1069075461114</v>
      </c>
      <c r="I67" s="13">
        <f t="shared" si="7"/>
        <v>-0.7488903497622659</v>
      </c>
      <c r="J67" s="10">
        <f t="shared" si="1"/>
        <v>27.884085605186378</v>
      </c>
    </row>
    <row r="68" spans="1:10" ht="12.75">
      <c r="A68">
        <f t="shared" si="8"/>
        <v>125</v>
      </c>
      <c r="B68" s="10">
        <f>(A68-A$66)/(A$69-A$66)*(B$69-B$66)+B$66</f>
        <v>18.333333333333332</v>
      </c>
      <c r="C68" s="13">
        <f t="shared" si="2"/>
        <v>3.9724489795918365</v>
      </c>
      <c r="D68" s="13">
        <f t="shared" si="3"/>
        <v>3.8461538461538463</v>
      </c>
      <c r="E68" s="13">
        <f t="shared" si="4"/>
        <v>10.211089148423277</v>
      </c>
      <c r="F68" s="13">
        <f t="shared" si="5"/>
        <v>18.02969197416896</v>
      </c>
      <c r="G68" s="13">
        <f t="shared" si="6"/>
        <v>0.3036413591643736</v>
      </c>
      <c r="H68" s="2">
        <f t="shared" si="0"/>
        <v>3945.1069075461114</v>
      </c>
      <c r="I68" s="13">
        <f t="shared" si="7"/>
        <v>3.609070361461147</v>
      </c>
      <c r="J68" s="10">
        <f t="shared" si="1"/>
        <v>24.275015243725232</v>
      </c>
    </row>
    <row r="69" spans="1:10" ht="12.75">
      <c r="A69" s="14">
        <f t="shared" si="8"/>
        <v>126</v>
      </c>
      <c r="B69" s="14">
        <v>20</v>
      </c>
      <c r="C69" s="13">
        <f t="shared" si="2"/>
        <v>3.949081632653061</v>
      </c>
      <c r="D69" s="13">
        <f t="shared" si="3"/>
        <v>3.769230769230769</v>
      </c>
      <c r="E69" s="13">
        <f t="shared" si="4"/>
        <v>10.211089148423277</v>
      </c>
      <c r="F69" s="13">
        <f t="shared" si="5"/>
        <v>17.929401550307105</v>
      </c>
      <c r="G69" s="13">
        <f t="shared" si="6"/>
        <v>2.070598449692895</v>
      </c>
      <c r="H69" s="2">
        <f t="shared" si="0"/>
        <v>3945.1069075461114</v>
      </c>
      <c r="I69" s="13">
        <f t="shared" si="7"/>
        <v>0.5292494206380068</v>
      </c>
      <c r="J69" s="10">
        <f t="shared" si="1"/>
        <v>23.745765823087225</v>
      </c>
    </row>
    <row r="70" spans="1:10" ht="12.75">
      <c r="A70">
        <f t="shared" si="8"/>
        <v>127</v>
      </c>
      <c r="B70" s="10">
        <v>23.5</v>
      </c>
      <c r="C70" s="13">
        <f t="shared" si="2"/>
        <v>3.9257142857142857</v>
      </c>
      <c r="D70" s="13">
        <f t="shared" si="3"/>
        <v>3.6923076923076925</v>
      </c>
      <c r="E70" s="13">
        <f t="shared" si="4"/>
        <v>10.211089148423277</v>
      </c>
      <c r="F70" s="13">
        <f t="shared" si="5"/>
        <v>17.829111126445255</v>
      </c>
      <c r="G70" s="13">
        <f t="shared" si="6"/>
        <v>5.670888873554745</v>
      </c>
      <c r="H70" s="2">
        <f t="shared" si="0"/>
        <v>3945.1069075461114</v>
      </c>
      <c r="I70" s="13">
        <f t="shared" si="7"/>
        <v>0.19324360859622844</v>
      </c>
      <c r="J70" s="10">
        <f t="shared" si="1"/>
        <v>23.552522214490995</v>
      </c>
    </row>
    <row r="71" spans="1:10" ht="12.75">
      <c r="A71">
        <f t="shared" si="8"/>
        <v>128</v>
      </c>
      <c r="B71" s="10">
        <v>28</v>
      </c>
      <c r="C71" s="13">
        <f t="shared" si="2"/>
        <v>3.90234693877551</v>
      </c>
      <c r="D71" s="13">
        <f t="shared" si="3"/>
        <v>3.6153846153846154</v>
      </c>
      <c r="E71" s="13">
        <f t="shared" si="4"/>
        <v>10.211089148423277</v>
      </c>
      <c r="F71" s="13">
        <f t="shared" si="5"/>
        <v>17.728820702583402</v>
      </c>
      <c r="G71" s="13">
        <f t="shared" si="6"/>
        <v>10.271179297416598</v>
      </c>
      <c r="H71" s="2">
        <f t="shared" si="0"/>
        <v>3945.1069075461114</v>
      </c>
      <c r="I71" s="13">
        <f t="shared" si="7"/>
        <v>0.10669300945311615</v>
      </c>
      <c r="J71" s="10">
        <f t="shared" si="1"/>
        <v>23.445829205037878</v>
      </c>
    </row>
    <row r="72" spans="1:10" ht="12.75">
      <c r="A72" s="14">
        <f t="shared" si="8"/>
        <v>129</v>
      </c>
      <c r="B72" s="14">
        <v>29.5</v>
      </c>
      <c r="C72" s="13">
        <f t="shared" si="2"/>
        <v>3.8789795918367345</v>
      </c>
      <c r="D72" s="13">
        <f t="shared" si="3"/>
        <v>3.5384615384615383</v>
      </c>
      <c r="E72" s="13">
        <f t="shared" si="4"/>
        <v>10.211089148423277</v>
      </c>
      <c r="F72" s="13">
        <f t="shared" si="5"/>
        <v>17.62853027872155</v>
      </c>
      <c r="G72" s="13">
        <f t="shared" si="6"/>
        <v>11.871469721278451</v>
      </c>
      <c r="H72" s="2">
        <f t="shared" si="0"/>
        <v>3945.1069075461114</v>
      </c>
      <c r="I72" s="13">
        <f t="shared" si="7"/>
        <v>0.09231064523625851</v>
      </c>
      <c r="J72" s="10">
        <f t="shared" si="1"/>
        <v>23.35351855980162</v>
      </c>
    </row>
    <row r="73" spans="1:10" ht="12.75">
      <c r="A73" s="14">
        <f t="shared" si="8"/>
        <v>130</v>
      </c>
      <c r="B73" s="14">
        <v>30</v>
      </c>
      <c r="C73" s="13">
        <f t="shared" si="2"/>
        <v>3.855612244897959</v>
      </c>
      <c r="D73" s="13">
        <f t="shared" si="3"/>
        <v>3.4615384615384617</v>
      </c>
      <c r="E73" s="13">
        <f t="shared" si="4"/>
        <v>10.211089148423277</v>
      </c>
      <c r="F73" s="13">
        <f t="shared" si="5"/>
        <v>17.5282398548597</v>
      </c>
      <c r="G73" s="13">
        <f t="shared" si="6"/>
        <v>12.471760145140301</v>
      </c>
      <c r="H73" s="2">
        <f t="shared" si="0"/>
        <v>3945.1069075461114</v>
      </c>
      <c r="I73" s="13">
        <f t="shared" si="7"/>
        <v>0.08786755174256054</v>
      </c>
      <c r="J73" s="10">
        <f t="shared" si="1"/>
        <v>23.26565100805906</v>
      </c>
    </row>
    <row r="74" spans="1:10" ht="12.75">
      <c r="A74" s="14">
        <f t="shared" si="8"/>
        <v>131</v>
      </c>
      <c r="B74" s="25">
        <v>30</v>
      </c>
      <c r="C74" s="13">
        <f t="shared" si="2"/>
        <v>3.8322448979591837</v>
      </c>
      <c r="D74" s="13">
        <f t="shared" si="3"/>
        <v>3.3846153846153846</v>
      </c>
      <c r="E74" s="13">
        <f t="shared" si="4"/>
        <v>10.211089148423277</v>
      </c>
      <c r="F74" s="13">
        <f t="shared" si="5"/>
        <v>17.427949430997845</v>
      </c>
      <c r="G74" s="13">
        <f t="shared" si="6"/>
        <v>12.572050569002155</v>
      </c>
      <c r="H74" s="2">
        <f t="shared" si="0"/>
        <v>3945.1069075461114</v>
      </c>
      <c r="I74" s="13">
        <f t="shared" si="7"/>
        <v>0.08716661008156434</v>
      </c>
      <c r="J74" s="10">
        <f t="shared" si="1"/>
        <v>23.178484397977495</v>
      </c>
    </row>
    <row r="75" spans="1:10" ht="12.75">
      <c r="A75" s="14">
        <f t="shared" si="8"/>
        <v>132</v>
      </c>
      <c r="B75" s="25">
        <v>29.8</v>
      </c>
      <c r="C75" s="13">
        <f t="shared" si="2"/>
        <v>3.808877551020408</v>
      </c>
      <c r="D75" s="13">
        <f t="shared" si="3"/>
        <v>3.3076923076923075</v>
      </c>
      <c r="E75" s="13">
        <f t="shared" si="4"/>
        <v>10.211089148423277</v>
      </c>
      <c r="F75" s="13">
        <f t="shared" si="5"/>
        <v>17.327659007135992</v>
      </c>
      <c r="G75" s="13">
        <f t="shared" si="6"/>
        <v>12.472340992864009</v>
      </c>
      <c r="H75" s="2">
        <f t="shared" si="0"/>
        <v>3945.1069075461114</v>
      </c>
      <c r="I75" s="13">
        <f t="shared" si="7"/>
        <v>0.08786345967456413</v>
      </c>
      <c r="J75" s="10">
        <f t="shared" si="1"/>
        <v>23.09062093830293</v>
      </c>
    </row>
    <row r="76" spans="1:10" ht="12.75">
      <c r="A76" s="14">
        <f t="shared" si="8"/>
        <v>133</v>
      </c>
      <c r="B76" s="14">
        <v>29.5</v>
      </c>
      <c r="C76" s="13">
        <f t="shared" si="2"/>
        <v>3.7855102040816324</v>
      </c>
      <c r="D76" s="13">
        <f t="shared" si="3"/>
        <v>3.230769230769231</v>
      </c>
      <c r="E76" s="13">
        <f t="shared" si="4"/>
        <v>10.211089148423277</v>
      </c>
      <c r="F76" s="13">
        <f t="shared" si="5"/>
        <v>17.227368583274142</v>
      </c>
      <c r="G76" s="13">
        <f t="shared" si="6"/>
        <v>12.272631416725858</v>
      </c>
      <c r="H76" s="2">
        <f t="shared" si="0"/>
        <v>3945.1069075461114</v>
      </c>
      <c r="I76" s="13">
        <f t="shared" si="7"/>
        <v>0.08929324059878584</v>
      </c>
      <c r="J76" s="10">
        <f t="shared" si="1"/>
        <v>23.001327697704145</v>
      </c>
    </row>
    <row r="77" spans="1:10" ht="12.75">
      <c r="A77">
        <f t="shared" si="8"/>
        <v>134</v>
      </c>
      <c r="B77" s="10">
        <f>(A77-A$76)/(A$91-A$76)*(B$91-B$76)+B$76</f>
        <v>29.2</v>
      </c>
      <c r="C77" s="13">
        <f t="shared" si="2"/>
        <v>3.762142857142857</v>
      </c>
      <c r="D77" s="13">
        <f t="shared" si="3"/>
        <v>3.1538461538461537</v>
      </c>
      <c r="E77" s="13">
        <f t="shared" si="4"/>
        <v>10.211089148423277</v>
      </c>
      <c r="F77" s="13">
        <f t="shared" si="5"/>
        <v>17.127078159412285</v>
      </c>
      <c r="G77" s="13">
        <f t="shared" si="6"/>
        <v>12.072921840587714</v>
      </c>
      <c r="H77" s="2">
        <f t="shared" si="0"/>
        <v>3945.1069075461114</v>
      </c>
      <c r="I77" s="13">
        <f t="shared" si="7"/>
        <v>0.09077032423002689</v>
      </c>
      <c r="J77" s="10">
        <f t="shared" si="1"/>
        <v>22.910557373474116</v>
      </c>
    </row>
    <row r="78" spans="1:10" ht="12.75">
      <c r="A78">
        <f t="shared" si="8"/>
        <v>135</v>
      </c>
      <c r="B78" s="10">
        <f aca="true" t="shared" si="10" ref="B78:B90">(A78-A$76)/(A$91-A$76)*(B$91-B$76)+B$76</f>
        <v>28.9</v>
      </c>
      <c r="C78" s="13">
        <f t="shared" si="2"/>
        <v>3.7387755102040816</v>
      </c>
      <c r="D78" s="13">
        <f t="shared" si="3"/>
        <v>3.076923076923077</v>
      </c>
      <c r="E78" s="13">
        <f t="shared" si="4"/>
        <v>10.211089148423277</v>
      </c>
      <c r="F78" s="13">
        <f t="shared" si="5"/>
        <v>17.026787735550435</v>
      </c>
      <c r="G78" s="13">
        <f t="shared" si="6"/>
        <v>11.873212264449563</v>
      </c>
      <c r="H78" s="2">
        <f t="shared" si="0"/>
        <v>3945.1069075461114</v>
      </c>
      <c r="I78" s="13">
        <f t="shared" si="7"/>
        <v>0.09229709748853071</v>
      </c>
      <c r="J78" s="10">
        <f t="shared" si="1"/>
        <v>22.818260275985587</v>
      </c>
    </row>
    <row r="79" spans="1:10" ht="12.75">
      <c r="A79">
        <f t="shared" si="8"/>
        <v>136</v>
      </c>
      <c r="B79" s="10">
        <f t="shared" si="10"/>
        <v>28.6</v>
      </c>
      <c r="C79" s="13">
        <f t="shared" si="2"/>
        <v>3.715408163265306</v>
      </c>
      <c r="D79" s="13">
        <f t="shared" si="3"/>
        <v>3</v>
      </c>
      <c r="E79" s="13">
        <f t="shared" si="4"/>
        <v>10.211089148423277</v>
      </c>
      <c r="F79" s="13">
        <f t="shared" si="5"/>
        <v>16.926497311688582</v>
      </c>
      <c r="G79" s="13">
        <f t="shared" si="6"/>
        <v>11.67350268831142</v>
      </c>
      <c r="H79" s="2">
        <f t="shared" si="0"/>
        <v>3945.1069075461114</v>
      </c>
      <c r="I79" s="13">
        <f t="shared" si="7"/>
        <v>0.09387611063568763</v>
      </c>
      <c r="J79" s="10">
        <f t="shared" si="1"/>
        <v>22.7243841653499</v>
      </c>
    </row>
    <row r="80" spans="1:10" ht="12.75">
      <c r="A80">
        <f t="shared" si="8"/>
        <v>137</v>
      </c>
      <c r="B80" s="10">
        <f t="shared" si="10"/>
        <v>28.3</v>
      </c>
      <c r="C80" s="13">
        <f t="shared" si="2"/>
        <v>3.6920408163265304</v>
      </c>
      <c r="D80" s="13">
        <f t="shared" si="3"/>
        <v>2.923076923076923</v>
      </c>
      <c r="E80" s="13">
        <f t="shared" si="4"/>
        <v>10.211089148423277</v>
      </c>
      <c r="F80" s="13">
        <f t="shared" si="5"/>
        <v>16.82620688782673</v>
      </c>
      <c r="G80" s="13">
        <f t="shared" si="6"/>
        <v>11.473793112173272</v>
      </c>
      <c r="H80" s="2">
        <f t="shared" si="0"/>
        <v>3945.1069075461114</v>
      </c>
      <c r="I80" s="13">
        <f t="shared" si="7"/>
        <v>0.09551009148938283</v>
      </c>
      <c r="J80" s="10">
        <f t="shared" si="1"/>
        <v>22.628874073860516</v>
      </c>
    </row>
    <row r="81" spans="1:10" ht="12.75">
      <c r="A81">
        <f t="shared" si="8"/>
        <v>138</v>
      </c>
      <c r="B81" s="10">
        <f t="shared" si="10"/>
        <v>28</v>
      </c>
      <c r="C81" s="13">
        <f t="shared" si="2"/>
        <v>3.668673469387755</v>
      </c>
      <c r="D81" s="13">
        <f t="shared" si="3"/>
        <v>2.8461538461538463</v>
      </c>
      <c r="E81" s="13">
        <f t="shared" si="4"/>
        <v>10.211089148423277</v>
      </c>
      <c r="F81" s="13">
        <f t="shared" si="5"/>
        <v>16.72591646396488</v>
      </c>
      <c r="G81" s="13">
        <f t="shared" si="6"/>
        <v>11.274083536035121</v>
      </c>
      <c r="H81" s="2">
        <f t="shared" si="0"/>
        <v>3945.1069075461114</v>
      </c>
      <c r="I81" s="13">
        <f t="shared" si="7"/>
        <v>0.09720196115021104</v>
      </c>
      <c r="J81" s="10">
        <f t="shared" si="1"/>
        <v>22.531672112710304</v>
      </c>
    </row>
    <row r="82" spans="1:10" ht="12.75">
      <c r="A82">
        <f t="shared" si="8"/>
        <v>139</v>
      </c>
      <c r="B82" s="10">
        <f t="shared" si="10"/>
        <v>27.7</v>
      </c>
      <c r="C82" s="13">
        <f t="shared" si="2"/>
        <v>3.6453061224489796</v>
      </c>
      <c r="D82" s="13">
        <f t="shared" si="3"/>
        <v>2.769230769230769</v>
      </c>
      <c r="E82" s="13">
        <f t="shared" si="4"/>
        <v>10.211089148423277</v>
      </c>
      <c r="F82" s="13">
        <f t="shared" si="5"/>
        <v>16.625626040103025</v>
      </c>
      <c r="G82" s="13">
        <f t="shared" si="6"/>
        <v>11.074373959896974</v>
      </c>
      <c r="H82" s="2">
        <f t="shared" si="0"/>
        <v>3945.1069075461114</v>
      </c>
      <c r="I82" s="13">
        <f t="shared" si="7"/>
        <v>0.09895485142928248</v>
      </c>
      <c r="J82" s="10">
        <f t="shared" si="1"/>
        <v>22.43271726128102</v>
      </c>
    </row>
    <row r="83" spans="1:10" ht="12.75">
      <c r="A83">
        <f t="shared" si="8"/>
        <v>140</v>
      </c>
      <c r="B83" s="10">
        <f t="shared" si="10"/>
        <v>27.4</v>
      </c>
      <c r="C83" s="13">
        <f t="shared" si="2"/>
        <v>3.621938775510204</v>
      </c>
      <c r="D83" s="13">
        <f t="shared" si="3"/>
        <v>2.6923076923076925</v>
      </c>
      <c r="E83" s="13">
        <f t="shared" si="4"/>
        <v>10.211089148423277</v>
      </c>
      <c r="F83" s="13">
        <f t="shared" si="5"/>
        <v>16.525335616241172</v>
      </c>
      <c r="G83" s="13">
        <f t="shared" si="6"/>
        <v>10.874664383758827</v>
      </c>
      <c r="H83" s="2">
        <f t="shared" si="0"/>
        <v>3945.1069075461114</v>
      </c>
      <c r="I83" s="13">
        <f t="shared" si="7"/>
        <v>0.10077212419636393</v>
      </c>
      <c r="J83" s="10">
        <f t="shared" si="1"/>
        <v>22.331945137084656</v>
      </c>
    </row>
    <row r="84" spans="1:10" ht="12.75">
      <c r="A84">
        <f t="shared" si="8"/>
        <v>141</v>
      </c>
      <c r="B84" s="10">
        <f t="shared" si="10"/>
        <v>27.1</v>
      </c>
      <c r="C84" s="13">
        <f t="shared" si="2"/>
        <v>3.5985714285714283</v>
      </c>
      <c r="D84" s="13">
        <f t="shared" si="3"/>
        <v>2.6153846153846154</v>
      </c>
      <c r="E84" s="13">
        <f t="shared" si="4"/>
        <v>10.211089148423277</v>
      </c>
      <c r="F84" s="13">
        <f t="shared" si="5"/>
        <v>16.425045192379322</v>
      </c>
      <c r="G84" s="13">
        <f t="shared" si="6"/>
        <v>10.67495480762068</v>
      </c>
      <c r="H84" s="2">
        <f t="shared" si="0"/>
        <v>3945.1069075461114</v>
      </c>
      <c r="I84" s="13">
        <f t="shared" si="7"/>
        <v>0.102657392899837</v>
      </c>
      <c r="J84" s="10">
        <f t="shared" si="1"/>
        <v>22.22928774418482</v>
      </c>
    </row>
    <row r="85" spans="1:10" ht="12.75">
      <c r="A85">
        <f t="shared" si="8"/>
        <v>142</v>
      </c>
      <c r="B85" s="10">
        <f t="shared" si="10"/>
        <v>26.8</v>
      </c>
      <c r="C85" s="13">
        <f t="shared" si="2"/>
        <v>3.575204081632653</v>
      </c>
      <c r="D85" s="13">
        <f t="shared" si="3"/>
        <v>2.5384615384615383</v>
      </c>
      <c r="E85" s="13">
        <f t="shared" si="4"/>
        <v>10.211089148423277</v>
      </c>
      <c r="F85" s="13">
        <f t="shared" si="5"/>
        <v>16.32475476851747</v>
      </c>
      <c r="G85" s="13">
        <f t="shared" si="6"/>
        <v>10.475245231482532</v>
      </c>
      <c r="H85" s="2">
        <f t="shared" si="0"/>
        <v>3945.1069075461114</v>
      </c>
      <c r="I85" s="13">
        <f t="shared" si="7"/>
        <v>0.10461454654831269</v>
      </c>
      <c r="J85" s="10">
        <f t="shared" si="1"/>
        <v>22.124673197636508</v>
      </c>
    </row>
    <row r="86" spans="1:10" ht="12.75">
      <c r="A86">
        <f t="shared" si="8"/>
        <v>143</v>
      </c>
      <c r="B86" s="10">
        <f t="shared" si="10"/>
        <v>26.5</v>
      </c>
      <c r="C86" s="13">
        <f t="shared" si="2"/>
        <v>3.5518367346938775</v>
      </c>
      <c r="D86" s="13">
        <f t="shared" si="3"/>
        <v>2.4615384615384617</v>
      </c>
      <c r="E86" s="13">
        <f t="shared" si="4"/>
        <v>10.211089148423277</v>
      </c>
      <c r="F86" s="13">
        <f t="shared" si="5"/>
        <v>16.224464344655615</v>
      </c>
      <c r="G86" s="13">
        <f t="shared" si="6"/>
        <v>10.275535655344385</v>
      </c>
      <c r="H86" s="2">
        <f t="shared" si="0"/>
        <v>3945.1069075461114</v>
      </c>
      <c r="I86" s="13">
        <f t="shared" si="7"/>
        <v>0.10664777648880554</v>
      </c>
      <c r="J86" s="10">
        <f t="shared" si="1"/>
        <v>22.0180254211477</v>
      </c>
    </row>
    <row r="87" spans="1:10" ht="12.75">
      <c r="A87">
        <f t="shared" si="8"/>
        <v>144</v>
      </c>
      <c r="B87" s="10">
        <f t="shared" si="10"/>
        <v>26.2</v>
      </c>
      <c r="C87" s="13">
        <f t="shared" si="2"/>
        <v>3.528469387755102</v>
      </c>
      <c r="D87" s="13">
        <f t="shared" si="3"/>
        <v>2.3846153846153846</v>
      </c>
      <c r="E87" s="13">
        <f t="shared" si="4"/>
        <v>10.211089148423277</v>
      </c>
      <c r="F87" s="13">
        <f t="shared" si="5"/>
        <v>16.124173920793766</v>
      </c>
      <c r="G87" s="13">
        <f t="shared" si="6"/>
        <v>10.075826079206234</v>
      </c>
      <c r="H87" s="2">
        <f t="shared" si="0"/>
        <v>3945.1069075461114</v>
      </c>
      <c r="I87" s="13">
        <f t="shared" si="7"/>
        <v>0.10876160636947509</v>
      </c>
      <c r="J87" s="10">
        <f t="shared" si="1"/>
        <v>21.909263814778225</v>
      </c>
    </row>
    <row r="88" spans="1:10" ht="12.75">
      <c r="A88">
        <f t="shared" si="8"/>
        <v>145</v>
      </c>
      <c r="B88" s="10">
        <f t="shared" si="10"/>
        <v>25.9</v>
      </c>
      <c r="C88" s="13">
        <f t="shared" si="2"/>
        <v>3.5051020408163263</v>
      </c>
      <c r="D88" s="13">
        <f t="shared" si="3"/>
        <v>2.3076923076923075</v>
      </c>
      <c r="E88" s="13">
        <f t="shared" si="4"/>
        <v>10.211089148423277</v>
      </c>
      <c r="F88" s="13">
        <f t="shared" si="5"/>
        <v>16.02388349693191</v>
      </c>
      <c r="G88" s="13">
        <f t="shared" si="6"/>
        <v>9.87611650306809</v>
      </c>
      <c r="H88" s="2">
        <f t="shared" si="0"/>
        <v>3945.1069075461114</v>
      </c>
      <c r="I88" s="13">
        <f t="shared" si="7"/>
        <v>0.11096092573771095</v>
      </c>
      <c r="J88" s="10">
        <f t="shared" si="1"/>
        <v>21.798302889040514</v>
      </c>
    </row>
    <row r="89" spans="1:10" ht="12.75">
      <c r="A89">
        <f t="shared" si="8"/>
        <v>146</v>
      </c>
      <c r="B89" s="10">
        <f t="shared" si="10"/>
        <v>25.6</v>
      </c>
      <c r="C89" s="13">
        <f t="shared" si="2"/>
        <v>3.481734693877551</v>
      </c>
      <c r="D89" s="13">
        <f t="shared" si="3"/>
        <v>2.230769230769231</v>
      </c>
      <c r="E89" s="13">
        <f t="shared" si="4"/>
        <v>10.211089148423277</v>
      </c>
      <c r="F89" s="13">
        <f t="shared" si="5"/>
        <v>15.923593073070059</v>
      </c>
      <c r="G89" s="13">
        <f t="shared" si="6"/>
        <v>9.676406926929943</v>
      </c>
      <c r="H89" s="2">
        <f t="shared" si="0"/>
        <v>3945.1069075461114</v>
      </c>
      <c r="I89" s="13">
        <f t="shared" si="7"/>
        <v>0.11325102779876653</v>
      </c>
      <c r="J89" s="10">
        <f t="shared" si="1"/>
        <v>21.685051861241746</v>
      </c>
    </row>
    <row r="90" spans="1:10" ht="12.75">
      <c r="A90">
        <f t="shared" si="8"/>
        <v>147</v>
      </c>
      <c r="B90" s="10">
        <f t="shared" si="10"/>
        <v>25.3</v>
      </c>
      <c r="C90" s="13">
        <f t="shared" si="2"/>
        <v>3.4583673469387755</v>
      </c>
      <c r="D90" s="13">
        <f t="shared" si="3"/>
        <v>2.1538461538461537</v>
      </c>
      <c r="E90" s="13">
        <f t="shared" si="4"/>
        <v>10.211089148423277</v>
      </c>
      <c r="F90" s="13">
        <f t="shared" si="5"/>
        <v>15.823302649208205</v>
      </c>
      <c r="G90" s="13">
        <f t="shared" si="6"/>
        <v>9.476697350791795</v>
      </c>
      <c r="H90" s="2">
        <f t="shared" si="0"/>
        <v>3945.1069075461114</v>
      </c>
      <c r="I90" s="13">
        <f t="shared" si="7"/>
        <v>0.11563765194868848</v>
      </c>
      <c r="J90" s="10">
        <f t="shared" si="1"/>
        <v>21.569414209293058</v>
      </c>
    </row>
    <row r="91" spans="1:10" ht="12.75">
      <c r="A91" s="14">
        <f t="shared" si="8"/>
        <v>148</v>
      </c>
      <c r="B91" s="14">
        <v>25</v>
      </c>
      <c r="C91" s="13">
        <f t="shared" si="2"/>
        <v>3.435</v>
      </c>
      <c r="D91" s="13">
        <f t="shared" si="3"/>
        <v>2.076923076923077</v>
      </c>
      <c r="E91" s="13">
        <f t="shared" si="4"/>
        <v>10.211089148423277</v>
      </c>
      <c r="F91" s="13">
        <f t="shared" si="5"/>
        <v>15.723012225346354</v>
      </c>
      <c r="G91" s="13">
        <f t="shared" si="6"/>
        <v>9.276987774653646</v>
      </c>
      <c r="H91" s="2">
        <f t="shared" si="0"/>
        <v>3945.1069075461114</v>
      </c>
      <c r="I91" s="13">
        <f t="shared" si="7"/>
        <v>0.1181270318009914</v>
      </c>
      <c r="J91" s="10">
        <f t="shared" si="1"/>
        <v>21.451287177492066</v>
      </c>
    </row>
    <row r="92" spans="1:10" ht="12.75">
      <c r="A92">
        <f t="shared" si="8"/>
        <v>149</v>
      </c>
      <c r="B92" s="10">
        <f>(A92-A$91)/(A$106-A$91)*(B$106-B$91)+B$91</f>
        <v>24.833333333333332</v>
      </c>
      <c r="C92" s="13">
        <f t="shared" si="2"/>
        <v>3.411632653061224</v>
      </c>
      <c r="D92" s="13">
        <f t="shared" si="3"/>
        <v>2</v>
      </c>
      <c r="E92" s="13">
        <f t="shared" si="4"/>
        <v>10.211089148423277</v>
      </c>
      <c r="F92" s="13">
        <f t="shared" si="5"/>
        <v>15.6227218014845</v>
      </c>
      <c r="G92" s="13">
        <f t="shared" si="6"/>
        <v>9.210611531848832</v>
      </c>
      <c r="H92" s="2">
        <f t="shared" si="0"/>
        <v>3945.1069075461114</v>
      </c>
      <c r="I92" s="13">
        <f t="shared" si="7"/>
        <v>0.11897831388117928</v>
      </c>
      <c r="J92" s="10">
        <f t="shared" si="1"/>
        <v>21.332308863610887</v>
      </c>
    </row>
    <row r="93" spans="1:10" ht="12.75">
      <c r="A93">
        <f t="shared" si="8"/>
        <v>150</v>
      </c>
      <c r="B93" s="10">
        <f aca="true" t="shared" si="11" ref="B93:B105">(A93-A$91)/(A$106-A$91)*(B$106-B$91)+B$91</f>
        <v>24.666666666666668</v>
      </c>
      <c r="C93" s="13">
        <f t="shared" si="2"/>
        <v>3.388265306122449</v>
      </c>
      <c r="D93" s="13">
        <f t="shared" si="3"/>
        <v>1.9230769230769231</v>
      </c>
      <c r="E93" s="13">
        <f t="shared" si="4"/>
        <v>10.211089148423277</v>
      </c>
      <c r="F93" s="13">
        <f t="shared" si="5"/>
        <v>15.522431377622649</v>
      </c>
      <c r="G93" s="13">
        <f t="shared" si="6"/>
        <v>9.144235289044019</v>
      </c>
      <c r="H93" s="2">
        <f t="shared" si="0"/>
        <v>3945.1069075461114</v>
      </c>
      <c r="I93" s="13">
        <f t="shared" si="7"/>
        <v>0.11984195454669742</v>
      </c>
      <c r="J93" s="10">
        <f t="shared" si="1"/>
        <v>21.21246690906419</v>
      </c>
    </row>
    <row r="94" spans="1:10" ht="12.75">
      <c r="A94">
        <f t="shared" si="8"/>
        <v>151</v>
      </c>
      <c r="B94" s="10">
        <f t="shared" si="11"/>
        <v>24.5</v>
      </c>
      <c r="C94" s="13">
        <f t="shared" si="2"/>
        <v>3.3648979591836734</v>
      </c>
      <c r="D94" s="13">
        <f t="shared" si="3"/>
        <v>1.8461538461538463</v>
      </c>
      <c r="E94" s="13">
        <f t="shared" si="4"/>
        <v>10.211089148423277</v>
      </c>
      <c r="F94" s="13">
        <f t="shared" si="5"/>
        <v>15.422140953760795</v>
      </c>
      <c r="G94" s="13">
        <f t="shared" si="6"/>
        <v>9.077859046239205</v>
      </c>
      <c r="H94" s="2">
        <f t="shared" si="0"/>
        <v>3945.1069075461114</v>
      </c>
      <c r="I94" s="13">
        <f t="shared" si="7"/>
        <v>0.12071822489113403</v>
      </c>
      <c r="J94" s="10">
        <f t="shared" si="1"/>
        <v>21.091748684173055</v>
      </c>
    </row>
    <row r="95" spans="1:10" ht="12.75">
      <c r="A95">
        <f t="shared" si="8"/>
        <v>152</v>
      </c>
      <c r="B95" s="10">
        <f t="shared" si="11"/>
        <v>24.333333333333332</v>
      </c>
      <c r="C95" s="13">
        <f t="shared" si="2"/>
        <v>3.341530612244898</v>
      </c>
      <c r="D95" s="13">
        <f t="shared" si="3"/>
        <v>1.7692307692307692</v>
      </c>
      <c r="E95" s="13">
        <f t="shared" si="4"/>
        <v>10.211089148423277</v>
      </c>
      <c r="F95" s="13">
        <f t="shared" si="5"/>
        <v>15.321850529898944</v>
      </c>
      <c r="G95" s="13">
        <f t="shared" si="6"/>
        <v>9.011482803434388</v>
      </c>
      <c r="H95" s="2">
        <f t="shared" si="0"/>
        <v>3945.1069075461114</v>
      </c>
      <c r="I95" s="13">
        <f t="shared" si="7"/>
        <v>0.12160740399529729</v>
      </c>
      <c r="J95" s="10">
        <f t="shared" si="1"/>
        <v>20.970141280177756</v>
      </c>
    </row>
    <row r="96" spans="1:10" ht="12.75">
      <c r="A96">
        <f t="shared" si="8"/>
        <v>153</v>
      </c>
      <c r="B96" s="10">
        <f t="shared" si="11"/>
        <v>24.166666666666668</v>
      </c>
      <c r="C96" s="13">
        <f t="shared" si="2"/>
        <v>3.318163265306122</v>
      </c>
      <c r="D96" s="13">
        <f t="shared" si="3"/>
        <v>1.6923076923076923</v>
      </c>
      <c r="E96" s="13">
        <f t="shared" si="4"/>
        <v>10.211089148423277</v>
      </c>
      <c r="F96" s="13">
        <f t="shared" si="5"/>
        <v>15.221560106037092</v>
      </c>
      <c r="G96" s="13">
        <f t="shared" si="6"/>
        <v>8.945106560629576</v>
      </c>
      <c r="H96" s="2">
        <f t="shared" si="0"/>
        <v>3945.1069075461114</v>
      </c>
      <c r="I96" s="13">
        <f t="shared" si="7"/>
        <v>0.12250977922355691</v>
      </c>
      <c r="J96" s="10">
        <f t="shared" si="1"/>
        <v>20.8476315009542</v>
      </c>
    </row>
    <row r="97" spans="1:10" ht="12.75">
      <c r="A97">
        <f t="shared" si="8"/>
        <v>154</v>
      </c>
      <c r="B97" s="10">
        <f t="shared" si="11"/>
        <v>24</v>
      </c>
      <c r="C97" s="13">
        <f t="shared" si="2"/>
        <v>3.2947959183673468</v>
      </c>
      <c r="D97" s="13">
        <f t="shared" si="3"/>
        <v>1.6153846153846154</v>
      </c>
      <c r="E97" s="13">
        <f t="shared" si="4"/>
        <v>10.211089148423277</v>
      </c>
      <c r="F97" s="13">
        <f t="shared" si="5"/>
        <v>15.121269682175239</v>
      </c>
      <c r="G97" s="13">
        <f t="shared" si="6"/>
        <v>8.878730317824761</v>
      </c>
      <c r="H97" s="2">
        <f t="shared" si="0"/>
        <v>3945.1069075461114</v>
      </c>
      <c r="I97" s="13">
        <f t="shared" si="7"/>
        <v>0.12342564653347869</v>
      </c>
      <c r="J97" s="10">
        <f t="shared" si="1"/>
        <v>20.72420585442072</v>
      </c>
    </row>
    <row r="98" spans="1:10" ht="12.75">
      <c r="A98">
        <f t="shared" si="8"/>
        <v>155</v>
      </c>
      <c r="B98" s="10">
        <f t="shared" si="11"/>
        <v>23.833333333333332</v>
      </c>
      <c r="C98" s="13">
        <f t="shared" si="2"/>
        <v>3.2714285714285714</v>
      </c>
      <c r="D98" s="13">
        <f t="shared" si="3"/>
        <v>1.5384615384615385</v>
      </c>
      <c r="E98" s="13">
        <f t="shared" si="4"/>
        <v>10.211089148423277</v>
      </c>
      <c r="F98" s="13">
        <f t="shared" si="5"/>
        <v>15.020979258313385</v>
      </c>
      <c r="G98" s="13">
        <f t="shared" si="6"/>
        <v>8.812354075019947</v>
      </c>
      <c r="H98" s="2">
        <f t="shared" si="0"/>
        <v>3945.1069075461114</v>
      </c>
      <c r="I98" s="13">
        <f t="shared" si="7"/>
        <v>0.12435531079945165</v>
      </c>
      <c r="J98" s="10">
        <f t="shared" si="1"/>
        <v>20.59985054362127</v>
      </c>
    </row>
    <row r="99" spans="1:10" ht="12.75">
      <c r="A99">
        <f t="shared" si="8"/>
        <v>156</v>
      </c>
      <c r="B99" s="10">
        <f t="shared" si="11"/>
        <v>23.666666666666668</v>
      </c>
      <c r="C99" s="13">
        <f t="shared" si="2"/>
        <v>3.248061224489796</v>
      </c>
      <c r="D99" s="13">
        <f t="shared" si="3"/>
        <v>1.4615384615384615</v>
      </c>
      <c r="E99" s="13">
        <f t="shared" si="4"/>
        <v>10.211089148423277</v>
      </c>
      <c r="F99" s="13">
        <f t="shared" si="5"/>
        <v>14.920688834451534</v>
      </c>
      <c r="G99" s="13">
        <f t="shared" si="6"/>
        <v>8.745977832215134</v>
      </c>
      <c r="H99" s="2">
        <f t="shared" si="0"/>
        <v>3945.1069075461114</v>
      </c>
      <c r="I99" s="13">
        <f t="shared" si="7"/>
        <v>0.12529908615105254</v>
      </c>
      <c r="J99" s="10">
        <f t="shared" si="1"/>
        <v>20.474551457470216</v>
      </c>
    </row>
    <row r="100" spans="1:10" ht="12.75">
      <c r="A100">
        <f t="shared" si="8"/>
        <v>157</v>
      </c>
      <c r="B100" s="10">
        <f t="shared" si="11"/>
        <v>23.5</v>
      </c>
      <c r="C100" s="13">
        <f t="shared" si="2"/>
        <v>3.22469387755102</v>
      </c>
      <c r="D100" s="13">
        <f t="shared" si="3"/>
        <v>1.3846153846153846</v>
      </c>
      <c r="E100" s="13">
        <f t="shared" si="4"/>
        <v>10.211089148423277</v>
      </c>
      <c r="F100" s="13">
        <f t="shared" si="5"/>
        <v>14.820398410589682</v>
      </c>
      <c r="G100" s="13">
        <f t="shared" si="6"/>
        <v>8.679601589410318</v>
      </c>
      <c r="H100" s="2">
        <f t="shared" si="0"/>
        <v>3945.1069075461114</v>
      </c>
      <c r="I100" s="13">
        <f t="shared" si="7"/>
        <v>0.1262572963269356</v>
      </c>
      <c r="J100" s="10">
        <f t="shared" si="1"/>
        <v>20.34829416114328</v>
      </c>
    </row>
    <row r="101" spans="1:10" ht="12.75">
      <c r="A101">
        <f t="shared" si="8"/>
        <v>158</v>
      </c>
      <c r="B101" s="10">
        <f t="shared" si="11"/>
        <v>23.333333333333332</v>
      </c>
      <c r="C101" s="13">
        <f t="shared" si="2"/>
        <v>3.2013265306122447</v>
      </c>
      <c r="D101" s="13">
        <f t="shared" si="3"/>
        <v>1.3076923076923077</v>
      </c>
      <c r="E101" s="13">
        <f t="shared" si="4"/>
        <v>10.211089148423277</v>
      </c>
      <c r="F101" s="13">
        <f t="shared" si="5"/>
        <v>14.720107986727829</v>
      </c>
      <c r="G101" s="13">
        <f t="shared" si="6"/>
        <v>8.613225346605503</v>
      </c>
      <c r="H101" s="2">
        <f t="shared" si="0"/>
        <v>3945.1069075461114</v>
      </c>
      <c r="I101" s="13">
        <f t="shared" si="7"/>
        <v>0.12723027504508547</v>
      </c>
      <c r="J101" s="10">
        <f t="shared" si="1"/>
        <v>20.221063886098193</v>
      </c>
    </row>
    <row r="102" spans="1:10" ht="12.75">
      <c r="A102">
        <f t="shared" si="8"/>
        <v>159</v>
      </c>
      <c r="B102" s="10">
        <f t="shared" si="11"/>
        <v>23.166666666666668</v>
      </c>
      <c r="C102" s="13">
        <f t="shared" si="2"/>
        <v>3.1779591836734693</v>
      </c>
      <c r="D102" s="13">
        <f t="shared" si="3"/>
        <v>1.2307692307692308</v>
      </c>
      <c r="E102" s="13">
        <f t="shared" si="4"/>
        <v>10.211089148423277</v>
      </c>
      <c r="F102" s="13">
        <f t="shared" si="5"/>
        <v>14.619817562865977</v>
      </c>
      <c r="G102" s="13">
        <f t="shared" si="6"/>
        <v>8.54684910380069</v>
      </c>
      <c r="H102" s="2">
        <f t="shared" si="0"/>
        <v>3945.1069075461114</v>
      </c>
      <c r="I102" s="13">
        <f t="shared" si="7"/>
        <v>0.12821836639032289</v>
      </c>
      <c r="J102" s="10">
        <f t="shared" si="1"/>
        <v>20.092845519707872</v>
      </c>
    </row>
    <row r="103" spans="1:10" ht="12.75">
      <c r="A103">
        <f t="shared" si="8"/>
        <v>160</v>
      </c>
      <c r="B103" s="10">
        <f t="shared" si="11"/>
        <v>23</v>
      </c>
      <c r="C103" s="13">
        <f t="shared" si="2"/>
        <v>3.154591836734694</v>
      </c>
      <c r="D103" s="13">
        <f t="shared" si="3"/>
        <v>1.1538461538461537</v>
      </c>
      <c r="E103" s="13">
        <f t="shared" si="4"/>
        <v>10.211089148423277</v>
      </c>
      <c r="F103" s="13">
        <f t="shared" si="5"/>
        <v>14.519527139004124</v>
      </c>
      <c r="G103" s="13">
        <f t="shared" si="6"/>
        <v>8.480472860995876</v>
      </c>
      <c r="H103" s="2">
        <f t="shared" si="0"/>
        <v>3945.1069075461114</v>
      </c>
      <c r="I103" s="13">
        <f t="shared" si="7"/>
        <v>0.1292219252200084</v>
      </c>
      <c r="J103" s="10">
        <f t="shared" si="1"/>
        <v>19.963623594487863</v>
      </c>
    </row>
    <row r="104" spans="1:10" ht="12.75">
      <c r="A104">
        <f t="shared" si="8"/>
        <v>161</v>
      </c>
      <c r="B104" s="10">
        <f t="shared" si="11"/>
        <v>22.833333333333332</v>
      </c>
      <c r="C104" s="13">
        <f t="shared" si="2"/>
        <v>3.131224489795918</v>
      </c>
      <c r="D104" s="13">
        <f t="shared" si="3"/>
        <v>1.0769230769230769</v>
      </c>
      <c r="E104" s="13">
        <f t="shared" si="4"/>
        <v>10.211089148423277</v>
      </c>
      <c r="F104" s="13">
        <f t="shared" si="5"/>
        <v>14.419236715142272</v>
      </c>
      <c r="G104" s="13">
        <f t="shared" si="6"/>
        <v>8.41409661819106</v>
      </c>
      <c r="H104" s="2">
        <f t="shared" si="0"/>
        <v>3945.1069075461114</v>
      </c>
      <c r="I104" s="13">
        <f t="shared" si="7"/>
        <v>0.13024131758894855</v>
      </c>
      <c r="J104" s="10">
        <f t="shared" si="1"/>
        <v>19.833382276898917</v>
      </c>
    </row>
    <row r="105" spans="1:10" ht="12.75">
      <c r="A105">
        <f t="shared" si="8"/>
        <v>162</v>
      </c>
      <c r="B105" s="10">
        <f t="shared" si="11"/>
        <v>22.666666666666668</v>
      </c>
      <c r="C105" s="13">
        <f t="shared" si="2"/>
        <v>3.1078571428571427</v>
      </c>
      <c r="D105" s="13">
        <f t="shared" si="3"/>
        <v>1</v>
      </c>
      <c r="E105" s="13">
        <f t="shared" si="4"/>
        <v>10.211089148423277</v>
      </c>
      <c r="F105" s="13">
        <f t="shared" si="5"/>
        <v>14.318946291280419</v>
      </c>
      <c r="G105" s="13">
        <f t="shared" si="6"/>
        <v>8.347720375386249</v>
      </c>
      <c r="H105" s="2">
        <f t="shared" si="0"/>
        <v>3945.1069075461114</v>
      </c>
      <c r="I105" s="13">
        <f t="shared" si="7"/>
        <v>0.13127692119457396</v>
      </c>
      <c r="J105" s="10">
        <f t="shared" si="1"/>
        <v>19.702105355704344</v>
      </c>
    </row>
    <row r="106" spans="1:10" ht="12.75">
      <c r="A106" s="14">
        <f t="shared" si="8"/>
        <v>163</v>
      </c>
      <c r="B106" s="14">
        <v>22.5</v>
      </c>
      <c r="C106" s="13">
        <f t="shared" si="2"/>
        <v>3.0844897959183672</v>
      </c>
      <c r="D106" s="13">
        <f t="shared" si="3"/>
        <v>0.9230769230769231</v>
      </c>
      <c r="E106" s="13">
        <f t="shared" si="4"/>
        <v>10.211089148423277</v>
      </c>
      <c r="F106" s="13">
        <f t="shared" si="5"/>
        <v>14.218655867418567</v>
      </c>
      <c r="G106" s="13">
        <f t="shared" si="6"/>
        <v>8.281344132581433</v>
      </c>
      <c r="H106" s="2">
        <f t="shared" si="0"/>
        <v>3945.1069075461114</v>
      </c>
      <c r="I106" s="13">
        <f t="shared" si="7"/>
        <v>0.13232912584352668</v>
      </c>
      <c r="J106" s="10">
        <f t="shared" si="1"/>
        <v>19.569776229860818</v>
      </c>
    </row>
    <row r="107" spans="1:10" ht="12.75">
      <c r="A107">
        <f t="shared" si="8"/>
        <v>164</v>
      </c>
      <c r="B107" s="10">
        <f>(A107-A$106)/(A$116-A$106)*(B$116-B$106)+B$106</f>
        <v>22.45</v>
      </c>
      <c r="C107" s="13">
        <f t="shared" si="2"/>
        <v>3.061122448979592</v>
      </c>
      <c r="D107" s="13">
        <f t="shared" si="3"/>
        <v>0.8461538461538461</v>
      </c>
      <c r="E107" s="13">
        <f t="shared" si="4"/>
        <v>10.211089148423277</v>
      </c>
      <c r="F107" s="13">
        <f t="shared" si="5"/>
        <v>14.118365443556716</v>
      </c>
      <c r="G107" s="13">
        <f t="shared" si="6"/>
        <v>8.331634556443284</v>
      </c>
      <c r="H107" s="2">
        <f t="shared" si="0"/>
        <v>3945.1069075461114</v>
      </c>
      <c r="I107" s="13">
        <f t="shared" si="7"/>
        <v>0.13153037647653812</v>
      </c>
      <c r="J107" s="10">
        <f t="shared" si="1"/>
        <v>19.43824585338428</v>
      </c>
    </row>
    <row r="108" spans="1:10" ht="12.75">
      <c r="A108">
        <f t="shared" si="8"/>
        <v>165</v>
      </c>
      <c r="B108" s="10">
        <f aca="true" t="shared" si="12" ref="B108:B115">(A108-A$106)/(A$116-A$106)*(B$116-B$106)+B$106</f>
        <v>22.4</v>
      </c>
      <c r="C108" s="13">
        <f t="shared" si="2"/>
        <v>3.037755102040816</v>
      </c>
      <c r="D108" s="13">
        <f t="shared" si="3"/>
        <v>0.7692307692307693</v>
      </c>
      <c r="E108" s="13">
        <f t="shared" si="4"/>
        <v>10.211089148423277</v>
      </c>
      <c r="F108" s="13">
        <f t="shared" si="5"/>
        <v>14.018075019694862</v>
      </c>
      <c r="G108" s="13">
        <f t="shared" si="6"/>
        <v>8.381924980305136</v>
      </c>
      <c r="H108" s="2">
        <f t="shared" si="0"/>
        <v>3945.1069075461114</v>
      </c>
      <c r="I108" s="13">
        <f t="shared" si="7"/>
        <v>0.13074121188734691</v>
      </c>
      <c r="J108" s="10">
        <f t="shared" si="1"/>
        <v>19.307504641496934</v>
      </c>
    </row>
    <row r="109" spans="1:10" ht="12.75">
      <c r="A109">
        <f t="shared" si="8"/>
        <v>166</v>
      </c>
      <c r="B109" s="10">
        <f t="shared" si="12"/>
        <v>22.35</v>
      </c>
      <c r="C109" s="13">
        <f t="shared" si="2"/>
        <v>3.0143877551020406</v>
      </c>
      <c r="D109" s="13">
        <f t="shared" si="3"/>
        <v>0.6923076923076923</v>
      </c>
      <c r="E109" s="13">
        <f t="shared" si="4"/>
        <v>10.211089148423277</v>
      </c>
      <c r="F109" s="13">
        <f t="shared" si="5"/>
        <v>13.917784595833009</v>
      </c>
      <c r="G109" s="13">
        <f t="shared" si="6"/>
        <v>8.432215404166993</v>
      </c>
      <c r="H109" s="2">
        <f t="shared" si="0"/>
        <v>3945.1069075461114</v>
      </c>
      <c r="I109" s="13">
        <f t="shared" si="7"/>
        <v>0.12996146058275165</v>
      </c>
      <c r="J109" s="10">
        <f t="shared" si="1"/>
        <v>19.17754318091418</v>
      </c>
    </row>
    <row r="110" spans="1:10" ht="12.75">
      <c r="A110">
        <f t="shared" si="8"/>
        <v>167</v>
      </c>
      <c r="B110" s="10">
        <f t="shared" si="12"/>
        <v>22.3</v>
      </c>
      <c r="C110" s="13">
        <f t="shared" si="2"/>
        <v>2.991020408163265</v>
      </c>
      <c r="D110" s="13">
        <f t="shared" si="3"/>
        <v>0.6153846153846154</v>
      </c>
      <c r="E110" s="13">
        <f t="shared" si="4"/>
        <v>10.211089148423277</v>
      </c>
      <c r="F110" s="13">
        <f t="shared" si="5"/>
        <v>13.817494171971157</v>
      </c>
      <c r="G110" s="13">
        <f t="shared" si="6"/>
        <v>8.482505828028843</v>
      </c>
      <c r="H110" s="2">
        <f t="shared" si="0"/>
        <v>3945.1069075461114</v>
      </c>
      <c r="I110" s="13">
        <f t="shared" si="7"/>
        <v>0.12919095513649362</v>
      </c>
      <c r="J110" s="10">
        <f t="shared" si="1"/>
        <v>19.048352225777688</v>
      </c>
    </row>
    <row r="111" spans="1:10" ht="12.75">
      <c r="A111">
        <f t="shared" si="8"/>
        <v>168</v>
      </c>
      <c r="B111" s="10">
        <f t="shared" si="12"/>
        <v>22.25</v>
      </c>
      <c r="C111" s="13">
        <f t="shared" si="2"/>
        <v>2.96765306122449</v>
      </c>
      <c r="D111" s="13">
        <f t="shared" si="3"/>
        <v>0.5384615384615384</v>
      </c>
      <c r="E111" s="13">
        <f t="shared" si="4"/>
        <v>10.211089148423277</v>
      </c>
      <c r="F111" s="13">
        <f t="shared" si="5"/>
        <v>13.717203748109306</v>
      </c>
      <c r="G111" s="13">
        <f t="shared" si="6"/>
        <v>8.532796251890694</v>
      </c>
      <c r="H111" s="2">
        <f t="shared" si="0"/>
        <v>3945.1069075461114</v>
      </c>
      <c r="I111" s="13">
        <f t="shared" si="7"/>
        <v>0.12842953206940794</v>
      </c>
      <c r="J111" s="10">
        <f t="shared" si="1"/>
        <v>18.91992269370828</v>
      </c>
    </row>
    <row r="112" spans="1:10" ht="12.75">
      <c r="A112">
        <f t="shared" si="8"/>
        <v>169</v>
      </c>
      <c r="B112" s="10">
        <f t="shared" si="12"/>
        <v>22.2</v>
      </c>
      <c r="C112" s="13">
        <f t="shared" si="2"/>
        <v>2.9442857142857144</v>
      </c>
      <c r="D112" s="13">
        <f t="shared" si="3"/>
        <v>0.46153846153846156</v>
      </c>
      <c r="E112" s="13">
        <f t="shared" si="4"/>
        <v>10.211089148423277</v>
      </c>
      <c r="F112" s="13">
        <f t="shared" si="5"/>
        <v>13.616913324247452</v>
      </c>
      <c r="G112" s="13">
        <f t="shared" si="6"/>
        <v>8.583086675752547</v>
      </c>
      <c r="H112" s="2">
        <f aca="true" t="shared" si="13" ref="H112:H175">H113</f>
        <v>3945.1069075461114</v>
      </c>
      <c r="I112" s="13">
        <f t="shared" si="7"/>
        <v>0.12767703173378903</v>
      </c>
      <c r="J112" s="10">
        <f aca="true" t="shared" si="14" ref="J112:J175">J113+I113</f>
        <v>18.79224566197449</v>
      </c>
    </row>
    <row r="113" spans="1:10" ht="12.75">
      <c r="A113">
        <f t="shared" si="8"/>
        <v>170</v>
      </c>
      <c r="B113" s="10">
        <f t="shared" si="12"/>
        <v>22.15</v>
      </c>
      <c r="C113" s="13">
        <f aca="true" t="shared" si="15" ref="C113:C176">(D$7-A113)*(1/D$12+1/D$13)</f>
        <v>2.9209183673469385</v>
      </c>
      <c r="D113" s="13">
        <f aca="true" t="shared" si="16" ref="D113:D176">MAX((D$8-A113)/D$11,0)</f>
        <v>0.38461538461538464</v>
      </c>
      <c r="E113" s="13">
        <f aca="true" t="shared" si="17" ref="E113:E176">D$15*(D$18*D$20*D$16+D$19*D$21*D$17)*(D$7^4-MAX(A113,D$8)^4)</f>
        <v>10.211089148423277</v>
      </c>
      <c r="F113" s="13">
        <f aca="true" t="shared" si="18" ref="F113:F176">SUM(C113:E113)</f>
        <v>13.516622900385599</v>
      </c>
      <c r="G113" s="13">
        <f aca="true" t="shared" si="19" ref="G113:G176">B113-F113</f>
        <v>8.6333770996144</v>
      </c>
      <c r="H113" s="2">
        <f t="shared" si="13"/>
        <v>3945.1069075461114</v>
      </c>
      <c r="I113" s="13">
        <f aca="true" t="shared" si="20" ref="I113:I176">H113/G113/3600</f>
        <v>0.126933298201797</v>
      </c>
      <c r="J113" s="10">
        <f t="shared" si="14"/>
        <v>18.665312363772692</v>
      </c>
    </row>
    <row r="114" spans="1:10" ht="12.75">
      <c r="A114">
        <f aca="true" t="shared" si="21" ref="A114:A177">A113+1</f>
        <v>171</v>
      </c>
      <c r="B114" s="10">
        <f t="shared" si="12"/>
        <v>22.1</v>
      </c>
      <c r="C114" s="13">
        <f t="shared" si="15"/>
        <v>2.897551020408163</v>
      </c>
      <c r="D114" s="13">
        <f t="shared" si="16"/>
        <v>0.3076923076923077</v>
      </c>
      <c r="E114" s="13">
        <f t="shared" si="17"/>
        <v>10.211089148423277</v>
      </c>
      <c r="F114" s="13">
        <f t="shared" si="18"/>
        <v>13.416332476523747</v>
      </c>
      <c r="G114" s="13">
        <f t="shared" si="19"/>
        <v>8.683667523476254</v>
      </c>
      <c r="H114" s="2">
        <f t="shared" si="13"/>
        <v>3945.1069075461114</v>
      </c>
      <c r="I114" s="13">
        <f t="shared" si="20"/>
        <v>0.12619817915774176</v>
      </c>
      <c r="J114" s="10">
        <f t="shared" si="14"/>
        <v>18.53911418461495</v>
      </c>
    </row>
    <row r="115" spans="1:10" ht="12.75">
      <c r="A115">
        <f t="shared" si="21"/>
        <v>172</v>
      </c>
      <c r="B115" s="10">
        <f t="shared" si="12"/>
        <v>22.05</v>
      </c>
      <c r="C115" s="13">
        <f t="shared" si="15"/>
        <v>2.8741836734693877</v>
      </c>
      <c r="D115" s="13">
        <f t="shared" si="16"/>
        <v>0.23076923076923078</v>
      </c>
      <c r="E115" s="13">
        <f t="shared" si="17"/>
        <v>10.211089148423277</v>
      </c>
      <c r="F115" s="13">
        <f t="shared" si="18"/>
        <v>13.316042052661896</v>
      </c>
      <c r="G115" s="13">
        <f t="shared" si="19"/>
        <v>8.733957947338105</v>
      </c>
      <c r="H115" s="2">
        <f t="shared" si="13"/>
        <v>3945.1069075461114</v>
      </c>
      <c r="I115" s="13">
        <f t="shared" si="20"/>
        <v>0.1254715257940888</v>
      </c>
      <c r="J115" s="10">
        <f t="shared" si="14"/>
        <v>18.41364265882086</v>
      </c>
    </row>
    <row r="116" spans="1:10" ht="12.75">
      <c r="A116" s="14">
        <f t="shared" si="21"/>
        <v>173</v>
      </c>
      <c r="B116" s="14">
        <v>22</v>
      </c>
      <c r="C116" s="13">
        <f t="shared" si="15"/>
        <v>2.8508163265306123</v>
      </c>
      <c r="D116" s="13">
        <f t="shared" si="16"/>
        <v>0.15384615384615385</v>
      </c>
      <c r="E116" s="13">
        <f t="shared" si="17"/>
        <v>10.211089148423277</v>
      </c>
      <c r="F116" s="13">
        <f t="shared" si="18"/>
        <v>13.215751628800042</v>
      </c>
      <c r="G116" s="13">
        <f t="shared" si="19"/>
        <v>8.784248371199958</v>
      </c>
      <c r="H116" s="2">
        <f t="shared" si="13"/>
        <v>3945.1069075461114</v>
      </c>
      <c r="I116" s="13">
        <f t="shared" si="20"/>
        <v>0.12475319271103684</v>
      </c>
      <c r="J116" s="10">
        <f t="shared" si="14"/>
        <v>18.288889466109822</v>
      </c>
    </row>
    <row r="117" spans="1:10" ht="12.75">
      <c r="A117">
        <f t="shared" si="21"/>
        <v>174</v>
      </c>
      <c r="B117" s="10">
        <f>(A117-A$116)/(A$128-A$116)*(B$128-B$116)+B$116</f>
        <v>21.875</v>
      </c>
      <c r="C117" s="13">
        <f t="shared" si="15"/>
        <v>2.8274489795918365</v>
      </c>
      <c r="D117" s="13">
        <f t="shared" si="16"/>
        <v>0.07692307692307693</v>
      </c>
      <c r="E117" s="13">
        <f t="shared" si="17"/>
        <v>10.211089148423277</v>
      </c>
      <c r="F117" s="13">
        <f t="shared" si="18"/>
        <v>13.11546120493819</v>
      </c>
      <c r="G117" s="13">
        <f t="shared" si="19"/>
        <v>8.75953879506181</v>
      </c>
      <c r="H117" s="2">
        <f t="shared" si="13"/>
        <v>3945.1069075461114</v>
      </c>
      <c r="I117" s="13">
        <f t="shared" si="20"/>
        <v>0.12510510604641795</v>
      </c>
      <c r="J117" s="10">
        <f t="shared" si="14"/>
        <v>18.163784360063403</v>
      </c>
    </row>
    <row r="118" spans="1:10" ht="12.75">
      <c r="A118" s="37">
        <f t="shared" si="21"/>
        <v>175</v>
      </c>
      <c r="B118" s="38">
        <f aca="true" t="shared" si="22" ref="B118:B127">(A118-A$116)/(A$128-A$116)*(B$128-B$116)+B$116</f>
        <v>21.75</v>
      </c>
      <c r="C118" s="35">
        <f t="shared" si="15"/>
        <v>2.804081632653061</v>
      </c>
      <c r="D118" s="35">
        <f t="shared" si="16"/>
        <v>0</v>
      </c>
      <c r="E118" s="35">
        <f t="shared" si="17"/>
        <v>10.211089148423277</v>
      </c>
      <c r="F118" s="35">
        <f t="shared" si="18"/>
        <v>13.015170781076337</v>
      </c>
      <c r="G118" s="35">
        <f t="shared" si="19"/>
        <v>8.734829218923663</v>
      </c>
      <c r="H118" s="36">
        <f t="shared" si="13"/>
        <v>3945.1069075461114</v>
      </c>
      <c r="I118" s="35">
        <f t="shared" si="20"/>
        <v>0.12545901040626825</v>
      </c>
      <c r="J118" s="39">
        <f t="shared" si="14"/>
        <v>18.038325349657136</v>
      </c>
    </row>
    <row r="119" spans="1:10" ht="12.75">
      <c r="A119">
        <f t="shared" si="21"/>
        <v>176</v>
      </c>
      <c r="B119" s="10">
        <f t="shared" si="22"/>
        <v>21.625</v>
      </c>
      <c r="C119" s="13">
        <f t="shared" si="15"/>
        <v>2.7807142857142857</v>
      </c>
      <c r="D119" s="13">
        <f t="shared" si="16"/>
        <v>0</v>
      </c>
      <c r="E119" s="13">
        <f t="shared" si="17"/>
        <v>10.177815845709699</v>
      </c>
      <c r="F119" s="13">
        <f t="shared" si="18"/>
        <v>12.958530131423984</v>
      </c>
      <c r="G119" s="13">
        <f t="shared" si="19"/>
        <v>8.666469868576016</v>
      </c>
      <c r="H119" s="2">
        <f t="shared" si="13"/>
        <v>3945.1069075461114</v>
      </c>
      <c r="I119" s="13">
        <f t="shared" si="20"/>
        <v>0.1264486055443911</v>
      </c>
      <c r="J119" s="10">
        <f t="shared" si="14"/>
        <v>17.911876744112746</v>
      </c>
    </row>
    <row r="120" spans="1:10" ht="12.75">
      <c r="A120">
        <f t="shared" si="21"/>
        <v>177</v>
      </c>
      <c r="B120" s="10">
        <f t="shared" si="22"/>
        <v>21.5</v>
      </c>
      <c r="C120" s="13">
        <f t="shared" si="15"/>
        <v>2.7573469387755103</v>
      </c>
      <c r="D120" s="13">
        <f t="shared" si="16"/>
        <v>0</v>
      </c>
      <c r="E120" s="13">
        <f t="shared" si="17"/>
        <v>10.143970524659528</v>
      </c>
      <c r="F120" s="13">
        <f t="shared" si="18"/>
        <v>12.901317463435038</v>
      </c>
      <c r="G120" s="13">
        <f t="shared" si="19"/>
        <v>8.598682536564962</v>
      </c>
      <c r="H120" s="2">
        <f t="shared" si="13"/>
        <v>3945.1069075461114</v>
      </c>
      <c r="I120" s="13">
        <f t="shared" si="20"/>
        <v>0.1274454575121109</v>
      </c>
      <c r="J120" s="10">
        <f t="shared" si="14"/>
        <v>17.784431286600636</v>
      </c>
    </row>
    <row r="121" spans="1:10" ht="12.75">
      <c r="A121">
        <f t="shared" si="21"/>
        <v>178</v>
      </c>
      <c r="B121" s="10">
        <f t="shared" si="22"/>
        <v>21.375</v>
      </c>
      <c r="C121" s="13">
        <f t="shared" si="15"/>
        <v>2.7339795918367344</v>
      </c>
      <c r="D121" s="13">
        <f t="shared" si="16"/>
        <v>0</v>
      </c>
      <c r="E121" s="13">
        <f t="shared" si="17"/>
        <v>10.109546666632971</v>
      </c>
      <c r="F121" s="13">
        <f t="shared" si="18"/>
        <v>12.843526258469705</v>
      </c>
      <c r="G121" s="13">
        <f t="shared" si="19"/>
        <v>8.531473741530295</v>
      </c>
      <c r="H121" s="2">
        <f t="shared" si="13"/>
        <v>3945.1069075461114</v>
      </c>
      <c r="I121" s="13">
        <f t="shared" si="20"/>
        <v>0.12844944063290925</v>
      </c>
      <c r="J121" s="10">
        <f t="shared" si="14"/>
        <v>17.655981845967727</v>
      </c>
    </row>
    <row r="122" spans="1:10" ht="12.75">
      <c r="A122">
        <f t="shared" si="21"/>
        <v>179</v>
      </c>
      <c r="B122" s="10">
        <f t="shared" si="22"/>
        <v>21.25</v>
      </c>
      <c r="C122" s="13">
        <f t="shared" si="15"/>
        <v>2.710612244897959</v>
      </c>
      <c r="D122" s="13">
        <f t="shared" si="16"/>
        <v>0</v>
      </c>
      <c r="E122" s="13">
        <f t="shared" si="17"/>
        <v>10.074537716057423</v>
      </c>
      <c r="F122" s="13">
        <f t="shared" si="18"/>
        <v>12.785149960955382</v>
      </c>
      <c r="G122" s="13">
        <f t="shared" si="19"/>
        <v>8.464850039044618</v>
      </c>
      <c r="H122" s="2">
        <f t="shared" si="13"/>
        <v>3945.1069075461114</v>
      </c>
      <c r="I122" s="13">
        <f t="shared" si="20"/>
        <v>0.12946041865115002</v>
      </c>
      <c r="J122" s="10">
        <f t="shared" si="14"/>
        <v>17.526521427316577</v>
      </c>
    </row>
    <row r="123" spans="1:10" ht="12.75">
      <c r="A123">
        <f t="shared" si="21"/>
        <v>180</v>
      </c>
      <c r="B123" s="10">
        <f t="shared" si="22"/>
        <v>21.125</v>
      </c>
      <c r="C123" s="13">
        <f t="shared" si="15"/>
        <v>2.6872448979591836</v>
      </c>
      <c r="D123" s="13">
        <f t="shared" si="16"/>
        <v>0</v>
      </c>
      <c r="E123" s="13">
        <f t="shared" si="17"/>
        <v>10.038937080427479</v>
      </c>
      <c r="F123" s="13">
        <f t="shared" si="18"/>
        <v>12.726181978386663</v>
      </c>
      <c r="G123" s="13">
        <f t="shared" si="19"/>
        <v>8.398818021613337</v>
      </c>
      <c r="H123" s="2">
        <f t="shared" si="13"/>
        <v>3945.1069075461114</v>
      </c>
      <c r="I123" s="13">
        <f t="shared" si="20"/>
        <v>0.13047824432602892</v>
      </c>
      <c r="J123" s="10">
        <f t="shared" si="14"/>
        <v>17.39604318299055</v>
      </c>
    </row>
    <row r="124" spans="1:10" ht="12.75">
      <c r="A124">
        <f t="shared" si="21"/>
        <v>181</v>
      </c>
      <c r="B124" s="10">
        <f t="shared" si="22"/>
        <v>21</v>
      </c>
      <c r="C124" s="13">
        <f t="shared" si="15"/>
        <v>2.6638775510204082</v>
      </c>
      <c r="D124" s="13">
        <f t="shared" si="16"/>
        <v>0</v>
      </c>
      <c r="E124" s="13">
        <f t="shared" si="17"/>
        <v>10.002738130304932</v>
      </c>
      <c r="F124" s="13">
        <f t="shared" si="18"/>
        <v>12.66661568132534</v>
      </c>
      <c r="G124" s="13">
        <f t="shared" si="19"/>
        <v>8.33338431867466</v>
      </c>
      <c r="H124" s="2">
        <f t="shared" si="13"/>
        <v>3945.1069075461114</v>
      </c>
      <c r="I124" s="13">
        <f t="shared" si="20"/>
        <v>0.1315027590193039</v>
      </c>
      <c r="J124" s="10">
        <f t="shared" si="14"/>
        <v>17.264540423971244</v>
      </c>
    </row>
    <row r="125" spans="1:10" ht="12.75">
      <c r="A125">
        <f t="shared" si="21"/>
        <v>182</v>
      </c>
      <c r="B125" s="10">
        <f t="shared" si="22"/>
        <v>20.875</v>
      </c>
      <c r="C125" s="13">
        <f t="shared" si="15"/>
        <v>2.6405102040816324</v>
      </c>
      <c r="D125" s="13">
        <f t="shared" si="16"/>
        <v>0</v>
      </c>
      <c r="E125" s="13">
        <f t="shared" si="17"/>
        <v>9.965934199318774</v>
      </c>
      <c r="F125" s="13">
        <f t="shared" si="18"/>
        <v>12.606444403400406</v>
      </c>
      <c r="G125" s="13">
        <f t="shared" si="19"/>
        <v>8.268555596599594</v>
      </c>
      <c r="H125" s="2">
        <f t="shared" si="13"/>
        <v>3945.1069075461114</v>
      </c>
      <c r="I125" s="13">
        <f t="shared" si="20"/>
        <v>0.13253379227740678</v>
      </c>
      <c r="J125" s="10">
        <f t="shared" si="14"/>
        <v>17.132006631693837</v>
      </c>
    </row>
    <row r="126" spans="1:10" ht="12.75">
      <c r="A126">
        <f t="shared" si="21"/>
        <v>183</v>
      </c>
      <c r="B126" s="10">
        <f t="shared" si="22"/>
        <v>20.75</v>
      </c>
      <c r="C126" s="13">
        <f t="shared" si="15"/>
        <v>2.617142857142857</v>
      </c>
      <c r="D126" s="13">
        <f t="shared" si="16"/>
        <v>0</v>
      </c>
      <c r="E126" s="13">
        <f t="shared" si="17"/>
        <v>9.928518584165184</v>
      </c>
      <c r="F126" s="13">
        <f t="shared" si="18"/>
        <v>12.545661441308042</v>
      </c>
      <c r="G126" s="13">
        <f t="shared" si="19"/>
        <v>8.204338558691958</v>
      </c>
      <c r="H126" s="2">
        <f t="shared" si="13"/>
        <v>3945.1069075461114</v>
      </c>
      <c r="I126" s="13">
        <f t="shared" si="20"/>
        <v>0.13357116140860922</v>
      </c>
      <c r="J126" s="10">
        <f t="shared" si="14"/>
        <v>16.998435470285227</v>
      </c>
    </row>
    <row r="127" spans="1:10" ht="12.75">
      <c r="A127">
        <f t="shared" si="21"/>
        <v>184</v>
      </c>
      <c r="B127" s="10">
        <f t="shared" si="22"/>
        <v>20.625</v>
      </c>
      <c r="C127" s="13">
        <f t="shared" si="15"/>
        <v>2.5937755102040816</v>
      </c>
      <c r="D127" s="13">
        <f t="shared" si="16"/>
        <v>0</v>
      </c>
      <c r="E127" s="13">
        <f t="shared" si="17"/>
        <v>9.890484544607549</v>
      </c>
      <c r="F127" s="13">
        <f t="shared" si="18"/>
        <v>12.484260054811632</v>
      </c>
      <c r="G127" s="13">
        <f t="shared" si="19"/>
        <v>8.140739945188368</v>
      </c>
      <c r="H127" s="2">
        <f t="shared" si="13"/>
        <v>3945.1069075461114</v>
      </c>
      <c r="I127" s="13">
        <f t="shared" si="20"/>
        <v>0.13461467105599365</v>
      </c>
      <c r="J127" s="10">
        <f t="shared" si="14"/>
        <v>16.863820799229234</v>
      </c>
    </row>
    <row r="128" spans="1:10" ht="12.75">
      <c r="A128" s="14">
        <f t="shared" si="21"/>
        <v>185</v>
      </c>
      <c r="B128" s="14">
        <v>20.5</v>
      </c>
      <c r="C128" s="13">
        <f t="shared" si="15"/>
        <v>2.570408163265306</v>
      </c>
      <c r="D128" s="13">
        <f t="shared" si="16"/>
        <v>0</v>
      </c>
      <c r="E128" s="13">
        <f t="shared" si="17"/>
        <v>9.851825303476446</v>
      </c>
      <c r="F128" s="13">
        <f t="shared" si="18"/>
        <v>12.422233466741751</v>
      </c>
      <c r="G128" s="13">
        <f t="shared" si="19"/>
        <v>8.077766533258249</v>
      </c>
      <c r="H128" s="2">
        <f t="shared" si="13"/>
        <v>3945.1069075461114</v>
      </c>
      <c r="I128" s="13">
        <f t="shared" si="20"/>
        <v>0.1356641127670587</v>
      </c>
      <c r="J128" s="10">
        <f t="shared" si="14"/>
        <v>16.728156686462174</v>
      </c>
    </row>
    <row r="129" spans="1:10" ht="12.75">
      <c r="A129">
        <f t="shared" si="21"/>
        <v>186</v>
      </c>
      <c r="B129" s="10">
        <f>(A129-A$128)/(A$136-A$128)*(B$136-B$128)+B$128</f>
        <v>20.4375</v>
      </c>
      <c r="C129" s="13">
        <f t="shared" si="15"/>
        <v>2.5470408163265303</v>
      </c>
      <c r="D129" s="13">
        <f t="shared" si="16"/>
        <v>0</v>
      </c>
      <c r="E129" s="13">
        <f t="shared" si="17"/>
        <v>9.812534046669649</v>
      </c>
      <c r="F129" s="13">
        <f t="shared" si="18"/>
        <v>12.35957486299618</v>
      </c>
      <c r="G129" s="13">
        <f t="shared" si="19"/>
        <v>8.07792513700382</v>
      </c>
      <c r="H129" s="2">
        <f t="shared" si="13"/>
        <v>3945.1069075461114</v>
      </c>
      <c r="I129" s="13">
        <f t="shared" si="20"/>
        <v>0.1356614491082528</v>
      </c>
      <c r="J129" s="10">
        <f t="shared" si="14"/>
        <v>16.592495237353923</v>
      </c>
    </row>
    <row r="130" spans="1:10" ht="12.75">
      <c r="A130">
        <f t="shared" si="21"/>
        <v>187</v>
      </c>
      <c r="B130" s="10">
        <f aca="true" t="shared" si="23" ref="B130:B135">(A130-A$128)/(A$136-A$128)*(B$136-B$128)+B$128</f>
        <v>20.375</v>
      </c>
      <c r="C130" s="13">
        <f t="shared" si="15"/>
        <v>2.523673469387755</v>
      </c>
      <c r="D130" s="13">
        <f t="shared" si="16"/>
        <v>0</v>
      </c>
      <c r="E130" s="13">
        <f t="shared" si="17"/>
        <v>9.77260392315213</v>
      </c>
      <c r="F130" s="13">
        <f t="shared" si="18"/>
        <v>12.296277392539885</v>
      </c>
      <c r="G130" s="13">
        <f t="shared" si="19"/>
        <v>8.078722607460115</v>
      </c>
      <c r="H130" s="2">
        <f t="shared" si="13"/>
        <v>3945.1069075461114</v>
      </c>
      <c r="I130" s="13">
        <f t="shared" si="20"/>
        <v>0.1356480576349991</v>
      </c>
      <c r="J130" s="10">
        <f t="shared" si="14"/>
        <v>16.456847179718924</v>
      </c>
    </row>
    <row r="131" spans="1:10" ht="12.75">
      <c r="A131">
        <f t="shared" si="21"/>
        <v>188</v>
      </c>
      <c r="B131" s="10">
        <f t="shared" si="23"/>
        <v>20.3125</v>
      </c>
      <c r="C131" s="13">
        <f t="shared" si="15"/>
        <v>2.5003061224489795</v>
      </c>
      <c r="D131" s="13">
        <f t="shared" si="16"/>
        <v>0</v>
      </c>
      <c r="E131" s="13">
        <f t="shared" si="17"/>
        <v>9.732028044956058</v>
      </c>
      <c r="F131" s="13">
        <f t="shared" si="18"/>
        <v>12.232334167405037</v>
      </c>
      <c r="G131" s="13">
        <f t="shared" si="19"/>
        <v>8.080165832594963</v>
      </c>
      <c r="H131" s="2">
        <f t="shared" si="13"/>
        <v>3945.1069075461114</v>
      </c>
      <c r="I131" s="13">
        <f t="shared" si="20"/>
        <v>0.13562382908693113</v>
      </c>
      <c r="J131" s="10">
        <f t="shared" si="14"/>
        <v>16.321223350631993</v>
      </c>
    </row>
    <row r="132" spans="1:10" ht="12.75">
      <c r="A132">
        <f t="shared" si="21"/>
        <v>189</v>
      </c>
      <c r="B132" s="10">
        <f t="shared" si="23"/>
        <v>20.25</v>
      </c>
      <c r="C132" s="13">
        <f t="shared" si="15"/>
        <v>2.476938775510204</v>
      </c>
      <c r="D132" s="13">
        <f t="shared" si="16"/>
        <v>0</v>
      </c>
      <c r="E132" s="13">
        <f t="shared" si="17"/>
        <v>9.690799487180797</v>
      </c>
      <c r="F132" s="13">
        <f t="shared" si="18"/>
        <v>12.167738262691001</v>
      </c>
      <c r="G132" s="13">
        <f t="shared" si="19"/>
        <v>8.082261737308999</v>
      </c>
      <c r="H132" s="2">
        <f t="shared" si="13"/>
        <v>3945.1069075461114</v>
      </c>
      <c r="I132" s="13">
        <f t="shared" si="20"/>
        <v>0.13558865890413357</v>
      </c>
      <c r="J132" s="10">
        <f t="shared" si="14"/>
        <v>16.18563469172786</v>
      </c>
    </row>
    <row r="133" spans="1:10" ht="12.75">
      <c r="A133">
        <f t="shared" si="21"/>
        <v>190</v>
      </c>
      <c r="B133" s="10">
        <f t="shared" si="23"/>
        <v>20.1875</v>
      </c>
      <c r="C133" s="13">
        <f t="shared" si="15"/>
        <v>2.4535714285714283</v>
      </c>
      <c r="D133" s="13">
        <f t="shared" si="16"/>
        <v>0</v>
      </c>
      <c r="E133" s="13">
        <f t="shared" si="17"/>
        <v>9.648911287992911</v>
      </c>
      <c r="F133" s="13">
        <f t="shared" si="18"/>
        <v>12.102482716564339</v>
      </c>
      <c r="G133" s="13">
        <f t="shared" si="19"/>
        <v>8.085017283435661</v>
      </c>
      <c r="H133" s="2">
        <f t="shared" si="13"/>
        <v>3945.1069075461114</v>
      </c>
      <c r="I133" s="13">
        <f t="shared" si="20"/>
        <v>0.1355424474007113</v>
      </c>
      <c r="J133" s="10">
        <f t="shared" si="14"/>
        <v>16.050092244327146</v>
      </c>
    </row>
    <row r="134" spans="1:10" ht="12.75">
      <c r="A134">
        <f t="shared" si="21"/>
        <v>191</v>
      </c>
      <c r="B134" s="10">
        <f t="shared" si="23"/>
        <v>20.125</v>
      </c>
      <c r="C134" s="13">
        <f t="shared" si="15"/>
        <v>2.430204081632653</v>
      </c>
      <c r="D134" s="13">
        <f t="shared" si="16"/>
        <v>0</v>
      </c>
      <c r="E134" s="13">
        <f t="shared" si="17"/>
        <v>9.606356448626155</v>
      </c>
      <c r="F134" s="13">
        <f t="shared" si="18"/>
        <v>12.036560530258807</v>
      </c>
      <c r="G134" s="13">
        <f t="shared" si="19"/>
        <v>8.088439469741193</v>
      </c>
      <c r="H134" s="2">
        <f t="shared" si="13"/>
        <v>3945.1069075461114</v>
      </c>
      <c r="I134" s="13">
        <f t="shared" si="20"/>
        <v>0.13548509993473246</v>
      </c>
      <c r="J134" s="10">
        <f t="shared" si="14"/>
        <v>15.914607144392413</v>
      </c>
    </row>
    <row r="135" spans="1:10" ht="12.75">
      <c r="A135">
        <f t="shared" si="21"/>
        <v>192</v>
      </c>
      <c r="B135" s="10">
        <f t="shared" si="23"/>
        <v>20.0625</v>
      </c>
      <c r="C135" s="13">
        <f t="shared" si="15"/>
        <v>2.4068367346938775</v>
      </c>
      <c r="D135" s="13">
        <f t="shared" si="16"/>
        <v>0</v>
      </c>
      <c r="E135" s="13">
        <f t="shared" si="17"/>
        <v>9.563127933381486</v>
      </c>
      <c r="F135" s="13">
        <f t="shared" si="18"/>
        <v>11.969964668075363</v>
      </c>
      <c r="G135" s="13">
        <f t="shared" si="19"/>
        <v>8.092535331924637</v>
      </c>
      <c r="H135" s="2">
        <f t="shared" si="13"/>
        <v>3945.1069075461114</v>
      </c>
      <c r="I135" s="13">
        <f t="shared" si="20"/>
        <v>0.1354165270741292</v>
      </c>
      <c r="J135" s="10">
        <f t="shared" si="14"/>
        <v>15.779190617318283</v>
      </c>
    </row>
    <row r="136" spans="1:10" ht="12.75">
      <c r="A136" s="14">
        <f t="shared" si="21"/>
        <v>193</v>
      </c>
      <c r="B136" s="14">
        <v>20</v>
      </c>
      <c r="C136" s="13">
        <f t="shared" si="15"/>
        <v>2.383469387755102</v>
      </c>
      <c r="D136" s="13">
        <f t="shared" si="16"/>
        <v>0</v>
      </c>
      <c r="E136" s="13">
        <f t="shared" si="17"/>
        <v>9.519218669627055</v>
      </c>
      <c r="F136" s="13">
        <f t="shared" si="18"/>
        <v>11.902688057382157</v>
      </c>
      <c r="G136" s="13">
        <f t="shared" si="19"/>
        <v>8.097311942617843</v>
      </c>
      <c r="H136" s="2">
        <f t="shared" si="13"/>
        <v>3945.1069075461114</v>
      </c>
      <c r="I136" s="13">
        <f t="shared" si="20"/>
        <v>0.13533664475814053</v>
      </c>
      <c r="J136" s="10">
        <f t="shared" si="14"/>
        <v>15.643853972560143</v>
      </c>
    </row>
    <row r="137" spans="1:10" ht="12.75">
      <c r="A137">
        <f t="shared" si="21"/>
        <v>194</v>
      </c>
      <c r="B137" s="10">
        <f>(A137-A$136)/(A$167-A$136)*(B$167-B$136)+B$136</f>
        <v>19.838709677419356</v>
      </c>
      <c r="C137" s="13">
        <f t="shared" si="15"/>
        <v>2.3601020408163262</v>
      </c>
      <c r="D137" s="13">
        <f t="shared" si="16"/>
        <v>0</v>
      </c>
      <c r="E137" s="13">
        <f t="shared" si="17"/>
        <v>9.474621547798208</v>
      </c>
      <c r="F137" s="13">
        <f t="shared" si="18"/>
        <v>11.834723588614533</v>
      </c>
      <c r="G137" s="13">
        <f t="shared" si="19"/>
        <v>8.003986088804822</v>
      </c>
      <c r="H137" s="2">
        <f t="shared" si="13"/>
        <v>3945.1069075461114</v>
      </c>
      <c r="I137" s="13">
        <f t="shared" si="20"/>
        <v>0.13691465948531617</v>
      </c>
      <c r="J137" s="10">
        <f t="shared" si="14"/>
        <v>15.506939313074826</v>
      </c>
    </row>
    <row r="138" spans="1:10" ht="12.75">
      <c r="A138">
        <f t="shared" si="21"/>
        <v>195</v>
      </c>
      <c r="B138" s="10">
        <f aca="true" t="shared" si="24" ref="B138:B166">(A138-A$136)/(A$167-A$136)*(B$167-B$136)+B$136</f>
        <v>19.677419354838708</v>
      </c>
      <c r="C138" s="13">
        <f t="shared" si="15"/>
        <v>2.336734693877551</v>
      </c>
      <c r="D138" s="13">
        <f t="shared" si="16"/>
        <v>0</v>
      </c>
      <c r="E138" s="13">
        <f t="shared" si="17"/>
        <v>9.429329421397492</v>
      </c>
      <c r="F138" s="13">
        <f t="shared" si="18"/>
        <v>11.766064115275043</v>
      </c>
      <c r="G138" s="13">
        <f t="shared" si="19"/>
        <v>7.911355239563665</v>
      </c>
      <c r="H138" s="2">
        <f t="shared" si="13"/>
        <v>3945.1069075461114</v>
      </c>
      <c r="I138" s="13">
        <f t="shared" si="20"/>
        <v>0.13851773769349282</v>
      </c>
      <c r="J138" s="10">
        <f t="shared" si="14"/>
        <v>15.368421575381333</v>
      </c>
    </row>
    <row r="139" spans="1:10" ht="12.75">
      <c r="A139">
        <f t="shared" si="21"/>
        <v>196</v>
      </c>
      <c r="B139" s="10">
        <f t="shared" si="24"/>
        <v>19.516129032258064</v>
      </c>
      <c r="C139" s="13">
        <f t="shared" si="15"/>
        <v>2.3133673469387754</v>
      </c>
      <c r="D139" s="13">
        <f t="shared" si="16"/>
        <v>0</v>
      </c>
      <c r="E139" s="13">
        <f t="shared" si="17"/>
        <v>9.383335106994648</v>
      </c>
      <c r="F139" s="13">
        <f t="shared" si="18"/>
        <v>11.696702453933424</v>
      </c>
      <c r="G139" s="13">
        <f t="shared" si="19"/>
        <v>7.81942657832464</v>
      </c>
      <c r="H139" s="2">
        <f t="shared" si="13"/>
        <v>3945.1069075461114</v>
      </c>
      <c r="I139" s="13">
        <f t="shared" si="20"/>
        <v>0.14014621390673832</v>
      </c>
      <c r="J139" s="10">
        <f t="shared" si="14"/>
        <v>15.228275361474594</v>
      </c>
    </row>
    <row r="140" spans="1:10" ht="12.75">
      <c r="A140">
        <f t="shared" si="21"/>
        <v>197</v>
      </c>
      <c r="B140" s="10">
        <f t="shared" si="24"/>
        <v>19.35483870967742</v>
      </c>
      <c r="C140" s="13">
        <f t="shared" si="15"/>
        <v>2.29</v>
      </c>
      <c r="D140" s="13">
        <f t="shared" si="16"/>
        <v>0</v>
      </c>
      <c r="E140" s="13">
        <f t="shared" si="17"/>
        <v>9.336631384226612</v>
      </c>
      <c r="F140" s="13">
        <f t="shared" si="18"/>
        <v>11.626631384226613</v>
      </c>
      <c r="G140" s="13">
        <f t="shared" si="19"/>
        <v>7.728207325450807</v>
      </c>
      <c r="H140" s="2">
        <f t="shared" si="13"/>
        <v>3945.1069075461114</v>
      </c>
      <c r="I140" s="13">
        <f t="shared" si="20"/>
        <v>0.1418004180950199</v>
      </c>
      <c r="J140" s="10">
        <f t="shared" si="14"/>
        <v>15.086474943379574</v>
      </c>
    </row>
    <row r="141" spans="1:10" ht="12.75">
      <c r="A141">
        <f t="shared" si="21"/>
        <v>198</v>
      </c>
      <c r="B141" s="10">
        <f t="shared" si="24"/>
        <v>19.193548387096776</v>
      </c>
      <c r="C141" s="13">
        <f t="shared" si="15"/>
        <v>2.266632653061224</v>
      </c>
      <c r="D141" s="13">
        <f t="shared" si="16"/>
        <v>0</v>
      </c>
      <c r="E141" s="13">
        <f t="shared" si="17"/>
        <v>9.289210995797522</v>
      </c>
      <c r="F141" s="13">
        <f t="shared" si="18"/>
        <v>11.555843648858746</v>
      </c>
      <c r="G141" s="13">
        <f t="shared" si="19"/>
        <v>7.63770473823803</v>
      </c>
      <c r="H141" s="2">
        <f t="shared" si="13"/>
        <v>3945.1069075461114</v>
      </c>
      <c r="I141" s="13">
        <f t="shared" si="20"/>
        <v>0.14348067481418883</v>
      </c>
      <c r="J141" s="10">
        <f t="shared" si="14"/>
        <v>14.942994268565386</v>
      </c>
    </row>
    <row r="142" spans="1:10" ht="12.75">
      <c r="A142">
        <f t="shared" si="21"/>
        <v>199</v>
      </c>
      <c r="B142" s="10">
        <f t="shared" si="24"/>
        <v>19.032258064516128</v>
      </c>
      <c r="C142" s="13">
        <f t="shared" si="15"/>
        <v>2.243265306122449</v>
      </c>
      <c r="D142" s="13">
        <f t="shared" si="16"/>
        <v>0</v>
      </c>
      <c r="E142" s="13">
        <f t="shared" si="17"/>
        <v>9.241066647478705</v>
      </c>
      <c r="F142" s="13">
        <f t="shared" si="18"/>
        <v>11.484331953601155</v>
      </c>
      <c r="G142" s="13">
        <f t="shared" si="19"/>
        <v>7.547926110914974</v>
      </c>
      <c r="H142" s="2">
        <f t="shared" si="13"/>
        <v>3945.1069075461114</v>
      </c>
      <c r="I142" s="13">
        <f t="shared" si="20"/>
        <v>0.14518730228283558</v>
      </c>
      <c r="J142" s="10">
        <f t="shared" si="14"/>
        <v>14.79780696628255</v>
      </c>
    </row>
    <row r="143" spans="1:10" ht="12.75">
      <c r="A143">
        <f t="shared" si="21"/>
        <v>200</v>
      </c>
      <c r="B143" s="10">
        <f t="shared" si="24"/>
        <v>18.870967741935484</v>
      </c>
      <c r="C143" s="13">
        <f t="shared" si="15"/>
        <v>2.2198979591836734</v>
      </c>
      <c r="D143" s="13">
        <f t="shared" si="16"/>
        <v>0</v>
      </c>
      <c r="E143" s="13">
        <f t="shared" si="17"/>
        <v>9.192191008108692</v>
      </c>
      <c r="F143" s="13">
        <f t="shared" si="18"/>
        <v>11.412088967292366</v>
      </c>
      <c r="G143" s="13">
        <f t="shared" si="19"/>
        <v>7.458878774643118</v>
      </c>
      <c r="H143" s="2">
        <f t="shared" si="13"/>
        <v>3945.1069075461114</v>
      </c>
      <c r="I143" s="13">
        <f t="shared" si="20"/>
        <v>0.14692061139260884</v>
      </c>
      <c r="J143" s="10">
        <f t="shared" si="14"/>
        <v>14.650886354889941</v>
      </c>
    </row>
    <row r="144" spans="1:10" ht="12.75">
      <c r="A144">
        <f t="shared" si="21"/>
        <v>201</v>
      </c>
      <c r="B144" s="10">
        <f t="shared" si="24"/>
        <v>18.70967741935484</v>
      </c>
      <c r="C144" s="13">
        <f t="shared" si="15"/>
        <v>2.196530612244898</v>
      </c>
      <c r="D144" s="13">
        <f t="shared" si="16"/>
        <v>0</v>
      </c>
      <c r="E144" s="13">
        <f t="shared" si="17"/>
        <v>9.142576709593204</v>
      </c>
      <c r="F144" s="13">
        <f t="shared" si="18"/>
        <v>11.339107321838101</v>
      </c>
      <c r="G144" s="13">
        <f t="shared" si="19"/>
        <v>7.3705700975167385</v>
      </c>
      <c r="H144" s="2">
        <f t="shared" si="13"/>
        <v>3945.1069075461114</v>
      </c>
      <c r="I144" s="13">
        <f t="shared" si="20"/>
        <v>0.14868090464849298</v>
      </c>
      <c r="J144" s="10">
        <f t="shared" si="14"/>
        <v>14.502205450241448</v>
      </c>
    </row>
    <row r="145" spans="1:10" ht="12.75">
      <c r="A145">
        <f t="shared" si="21"/>
        <v>202</v>
      </c>
      <c r="B145" s="10">
        <f t="shared" si="24"/>
        <v>18.548387096774192</v>
      </c>
      <c r="C145" s="13">
        <f t="shared" si="15"/>
        <v>2.1731632653061226</v>
      </c>
      <c r="D145" s="13">
        <f t="shared" si="16"/>
        <v>0</v>
      </c>
      <c r="E145" s="13">
        <f t="shared" si="17"/>
        <v>9.092216346905165</v>
      </c>
      <c r="F145" s="13">
        <f t="shared" si="18"/>
        <v>11.265379612211287</v>
      </c>
      <c r="G145" s="13">
        <f t="shared" si="19"/>
        <v>7.283007484562905</v>
      </c>
      <c r="H145" s="2">
        <f t="shared" si="13"/>
        <v>3945.1069075461114</v>
      </c>
      <c r="I145" s="13">
        <f t="shared" si="20"/>
        <v>0.150468475035446</v>
      </c>
      <c r="J145" s="10">
        <f t="shared" si="14"/>
        <v>14.351736975206002</v>
      </c>
    </row>
    <row r="146" spans="1:10" ht="12.75">
      <c r="A146">
        <f t="shared" si="21"/>
        <v>203</v>
      </c>
      <c r="B146" s="10">
        <f t="shared" si="24"/>
        <v>18.387096774193548</v>
      </c>
      <c r="C146" s="13">
        <f t="shared" si="15"/>
        <v>2.1497959183673467</v>
      </c>
      <c r="D146" s="13">
        <f t="shared" si="16"/>
        <v>0</v>
      </c>
      <c r="E146" s="13">
        <f t="shared" si="17"/>
        <v>9.04110247808469</v>
      </c>
      <c r="F146" s="13">
        <f t="shared" si="18"/>
        <v>11.190898396452038</v>
      </c>
      <c r="G146" s="13">
        <f t="shared" si="19"/>
        <v>7.19619837774151</v>
      </c>
      <c r="H146" s="2">
        <f t="shared" si="13"/>
        <v>3945.1069075461114</v>
      </c>
      <c r="I146" s="13">
        <f t="shared" si="20"/>
        <v>0.15228360480771666</v>
      </c>
      <c r="J146" s="10">
        <f t="shared" si="14"/>
        <v>14.199453370398285</v>
      </c>
    </row>
    <row r="147" spans="1:10" ht="12.75">
      <c r="A147">
        <f t="shared" si="21"/>
        <v>204</v>
      </c>
      <c r="B147" s="10">
        <f t="shared" si="24"/>
        <v>18.225806451612904</v>
      </c>
      <c r="C147" s="13">
        <f t="shared" si="15"/>
        <v>2.1264285714285713</v>
      </c>
      <c r="D147" s="13">
        <f t="shared" si="16"/>
        <v>0</v>
      </c>
      <c r="E147" s="13">
        <f t="shared" si="17"/>
        <v>8.989227624239096</v>
      </c>
      <c r="F147" s="13">
        <f t="shared" si="18"/>
        <v>11.115656195667666</v>
      </c>
      <c r="G147" s="13">
        <f t="shared" si="19"/>
        <v>7.110150255945237</v>
      </c>
      <c r="H147" s="2">
        <f t="shared" si="13"/>
        <v>3945.1069075461114</v>
      </c>
      <c r="I147" s="13">
        <f t="shared" si="20"/>
        <v>0.15412656419709286</v>
      </c>
      <c r="J147" s="10">
        <f t="shared" si="14"/>
        <v>14.045326806201192</v>
      </c>
    </row>
    <row r="148" spans="1:10" ht="12.75">
      <c r="A148">
        <f t="shared" si="21"/>
        <v>205</v>
      </c>
      <c r="B148" s="10">
        <f t="shared" si="24"/>
        <v>18.064516129032256</v>
      </c>
      <c r="C148" s="13">
        <f t="shared" si="15"/>
        <v>2.103061224489796</v>
      </c>
      <c r="D148" s="13">
        <f t="shared" si="16"/>
        <v>0</v>
      </c>
      <c r="E148" s="13">
        <f t="shared" si="17"/>
        <v>8.936584269542891</v>
      </c>
      <c r="F148" s="13">
        <f t="shared" si="18"/>
        <v>11.039645494032687</v>
      </c>
      <c r="G148" s="13">
        <f t="shared" si="19"/>
        <v>7.024870634999569</v>
      </c>
      <c r="H148" s="2">
        <f t="shared" si="13"/>
        <v>3945.1069075461114</v>
      </c>
      <c r="I148" s="13">
        <f t="shared" si="20"/>
        <v>0.1559976100362718</v>
      </c>
      <c r="J148" s="10">
        <f t="shared" si="14"/>
        <v>13.88932919616492</v>
      </c>
    </row>
    <row r="149" spans="1:10" ht="12.75">
      <c r="A149">
        <f t="shared" si="21"/>
        <v>206</v>
      </c>
      <c r="B149" s="10">
        <f t="shared" si="24"/>
        <v>17.903225806451612</v>
      </c>
      <c r="C149" s="13">
        <f t="shared" si="15"/>
        <v>2.0796938775510205</v>
      </c>
      <c r="D149" s="13">
        <f t="shared" si="16"/>
        <v>0</v>
      </c>
      <c r="E149" s="13">
        <f t="shared" si="17"/>
        <v>8.883164861237784</v>
      </c>
      <c r="F149" s="13">
        <f t="shared" si="18"/>
        <v>10.962858738788805</v>
      </c>
      <c r="G149" s="13">
        <f t="shared" si="19"/>
        <v>6.940367067662807</v>
      </c>
      <c r="H149" s="2">
        <f t="shared" si="13"/>
        <v>3945.1069075461114</v>
      </c>
      <c r="I149" s="13">
        <f t="shared" si="20"/>
        <v>0.15789698429350588</v>
      </c>
      <c r="J149" s="10">
        <f t="shared" si="14"/>
        <v>13.731432211871414</v>
      </c>
    </row>
    <row r="150" spans="1:10" ht="12.75">
      <c r="A150">
        <f t="shared" si="21"/>
        <v>207</v>
      </c>
      <c r="B150" s="10">
        <f t="shared" si="24"/>
        <v>17.741935483870968</v>
      </c>
      <c r="C150" s="13">
        <f t="shared" si="15"/>
        <v>2.0563265306122447</v>
      </c>
      <c r="D150" s="13">
        <f t="shared" si="16"/>
        <v>0</v>
      </c>
      <c r="E150" s="13">
        <f t="shared" si="17"/>
        <v>8.828961809632679</v>
      </c>
      <c r="F150" s="13">
        <f t="shared" si="18"/>
        <v>10.885288340244923</v>
      </c>
      <c r="G150" s="13">
        <f t="shared" si="19"/>
        <v>6.856647143626045</v>
      </c>
      <c r="H150" s="2">
        <f t="shared" si="13"/>
        <v>3945.1069075461114</v>
      </c>
      <c r="I150" s="13">
        <f t="shared" si="20"/>
        <v>0.1598249125146591</v>
      </c>
      <c r="J150" s="10">
        <f t="shared" si="14"/>
        <v>13.571607299356755</v>
      </c>
    </row>
    <row r="151" spans="1:10" ht="12.75">
      <c r="A151">
        <f t="shared" si="21"/>
        <v>208</v>
      </c>
      <c r="B151" s="10">
        <f t="shared" si="24"/>
        <v>17.580645161290324</v>
      </c>
      <c r="C151" s="13">
        <f t="shared" si="15"/>
        <v>2.0329591836734693</v>
      </c>
      <c r="D151" s="13">
        <f t="shared" si="16"/>
        <v>0</v>
      </c>
      <c r="E151" s="13">
        <f t="shared" si="17"/>
        <v>8.773967488103674</v>
      </c>
      <c r="F151" s="13">
        <f t="shared" si="18"/>
        <v>10.806926671777143</v>
      </c>
      <c r="G151" s="13">
        <f t="shared" si="19"/>
        <v>6.773718489513181</v>
      </c>
      <c r="H151" s="2">
        <f t="shared" si="13"/>
        <v>3945.1069075461114</v>
      </c>
      <c r="I151" s="13">
        <f t="shared" si="20"/>
        <v>0.1617816021688079</v>
      </c>
      <c r="J151" s="10">
        <f t="shared" si="14"/>
        <v>13.409825697187946</v>
      </c>
    </row>
    <row r="152" spans="1:10" ht="12.75">
      <c r="A152">
        <f t="shared" si="21"/>
        <v>209</v>
      </c>
      <c r="B152" s="10">
        <f t="shared" si="24"/>
        <v>17.419354838709676</v>
      </c>
      <c r="C152" s="13">
        <f t="shared" si="15"/>
        <v>2.009591836734694</v>
      </c>
      <c r="D152" s="13">
        <f t="shared" si="16"/>
        <v>0</v>
      </c>
      <c r="E152" s="13">
        <f t="shared" si="17"/>
        <v>8.71817423309407</v>
      </c>
      <c r="F152" s="13">
        <f t="shared" si="18"/>
        <v>10.727766069828764</v>
      </c>
      <c r="G152" s="13">
        <f t="shared" si="19"/>
        <v>6.691588768880912</v>
      </c>
      <c r="H152" s="2">
        <f t="shared" si="13"/>
        <v>3945.1069075461114</v>
      </c>
      <c r="I152" s="13">
        <f t="shared" si="20"/>
        <v>0.16376724089355388</v>
      </c>
      <c r="J152" s="10">
        <f t="shared" si="14"/>
        <v>13.246058456294392</v>
      </c>
    </row>
    <row r="153" spans="1:10" ht="12.75">
      <c r="A153">
        <f t="shared" si="21"/>
        <v>210</v>
      </c>
      <c r="B153" s="10">
        <f t="shared" si="24"/>
        <v>17.258064516129032</v>
      </c>
      <c r="C153" s="13">
        <f t="shared" si="15"/>
        <v>1.9862244897959183</v>
      </c>
      <c r="D153" s="13">
        <f t="shared" si="16"/>
        <v>0</v>
      </c>
      <c r="E153" s="13">
        <f t="shared" si="17"/>
        <v>8.661574344114358</v>
      </c>
      <c r="F153" s="13">
        <f t="shared" si="18"/>
        <v>10.647798833910276</v>
      </c>
      <c r="G153" s="13">
        <f t="shared" si="19"/>
        <v>6.610265682218756</v>
      </c>
      <c r="H153" s="2">
        <f t="shared" si="13"/>
        <v>3945.1069075461114</v>
      </c>
      <c r="I153" s="13">
        <f t="shared" si="20"/>
        <v>0.16578199463627158</v>
      </c>
      <c r="J153" s="10">
        <f t="shared" si="14"/>
        <v>13.080276461658121</v>
      </c>
    </row>
    <row r="154" spans="1:10" ht="12.75">
      <c r="A154">
        <f t="shared" si="21"/>
        <v>211</v>
      </c>
      <c r="B154" s="10">
        <f t="shared" si="24"/>
        <v>17.096774193548388</v>
      </c>
      <c r="C154" s="13">
        <f t="shared" si="15"/>
        <v>1.9628571428571429</v>
      </c>
      <c r="D154" s="13">
        <f t="shared" si="16"/>
        <v>0</v>
      </c>
      <c r="E154" s="13">
        <f t="shared" si="17"/>
        <v>8.604160083742231</v>
      </c>
      <c r="F154" s="13">
        <f t="shared" si="18"/>
        <v>10.567017226599374</v>
      </c>
      <c r="G154" s="13">
        <f t="shared" si="19"/>
        <v>6.529756966949014</v>
      </c>
      <c r="H154" s="2">
        <f t="shared" si="13"/>
        <v>3945.1069075461114</v>
      </c>
      <c r="I154" s="13">
        <f t="shared" si="20"/>
        <v>0.16782600568761363</v>
      </c>
      <c r="J154" s="10">
        <f t="shared" si="14"/>
        <v>12.912450455970507</v>
      </c>
    </row>
    <row r="155" spans="1:10" ht="12.75">
      <c r="A155">
        <f t="shared" si="21"/>
        <v>212</v>
      </c>
      <c r="B155" s="10">
        <f t="shared" si="24"/>
        <v>16.935483870967744</v>
      </c>
      <c r="C155" s="13">
        <f t="shared" si="15"/>
        <v>1.9394897959183672</v>
      </c>
      <c r="D155" s="13">
        <f t="shared" si="16"/>
        <v>0</v>
      </c>
      <c r="E155" s="13">
        <f t="shared" si="17"/>
        <v>8.545923677622573</v>
      </c>
      <c r="F155" s="13">
        <f t="shared" si="18"/>
        <v>10.485413473540941</v>
      </c>
      <c r="G155" s="13">
        <f t="shared" si="19"/>
        <v>6.450070397426803</v>
      </c>
      <c r="H155" s="2">
        <f t="shared" si="13"/>
        <v>3945.1069075461114</v>
      </c>
      <c r="I155" s="13">
        <f t="shared" si="20"/>
        <v>0.16989939060372183</v>
      </c>
      <c r="J155" s="10">
        <f t="shared" si="14"/>
        <v>12.742551065366786</v>
      </c>
    </row>
    <row r="156" spans="1:10" ht="12.75">
      <c r="A156">
        <f t="shared" si="21"/>
        <v>213</v>
      </c>
      <c r="B156" s="10">
        <f t="shared" si="24"/>
        <v>16.774193548387096</v>
      </c>
      <c r="C156" s="13">
        <f t="shared" si="15"/>
        <v>1.9161224489795918</v>
      </c>
      <c r="D156" s="13">
        <f t="shared" si="16"/>
        <v>0</v>
      </c>
      <c r="E156" s="13">
        <f t="shared" si="17"/>
        <v>8.486857314467471</v>
      </c>
      <c r="F156" s="13">
        <f t="shared" si="18"/>
        <v>10.402979763447064</v>
      </c>
      <c r="G156" s="13">
        <f t="shared" si="19"/>
        <v>6.371213784940032</v>
      </c>
      <c r="H156" s="2">
        <f t="shared" si="13"/>
        <v>3945.1069075461114</v>
      </c>
      <c r="I156" s="13">
        <f t="shared" si="20"/>
        <v>0.17200223801377815</v>
      </c>
      <c r="J156" s="10">
        <f t="shared" si="14"/>
        <v>12.570548827353008</v>
      </c>
    </row>
    <row r="157" spans="1:10" ht="12.75">
      <c r="A157">
        <f t="shared" si="21"/>
        <v>214</v>
      </c>
      <c r="B157" s="10">
        <f t="shared" si="24"/>
        <v>16.612903225806452</v>
      </c>
      <c r="C157" s="13">
        <f t="shared" si="15"/>
        <v>1.8927551020408162</v>
      </c>
      <c r="D157" s="13">
        <f t="shared" si="16"/>
        <v>0</v>
      </c>
      <c r="E157" s="13">
        <f t="shared" si="17"/>
        <v>8.426953146056203</v>
      </c>
      <c r="F157" s="13">
        <f t="shared" si="18"/>
        <v>10.319708248097019</v>
      </c>
      <c r="G157" s="13">
        <f t="shared" si="19"/>
        <v>6.293194977709433</v>
      </c>
      <c r="H157" s="2">
        <f t="shared" si="13"/>
        <v>3945.1069075461114</v>
      </c>
      <c r="I157" s="13">
        <f t="shared" si="20"/>
        <v>0.1741346063097487</v>
      </c>
      <c r="J157" s="10">
        <f t="shared" si="14"/>
        <v>12.396414221043258</v>
      </c>
    </row>
    <row r="158" spans="1:10" ht="12.75">
      <c r="A158">
        <f t="shared" si="21"/>
        <v>215</v>
      </c>
      <c r="B158" s="10">
        <f t="shared" si="24"/>
        <v>16.451612903225808</v>
      </c>
      <c r="C158" s="13">
        <f t="shared" si="15"/>
        <v>1.8693877551020408</v>
      </c>
      <c r="D158" s="13">
        <f t="shared" si="16"/>
        <v>0</v>
      </c>
      <c r="E158" s="13">
        <f t="shared" si="17"/>
        <v>8.366203287235246</v>
      </c>
      <c r="F158" s="13">
        <f t="shared" si="18"/>
        <v>10.235591042337287</v>
      </c>
      <c r="G158" s="13">
        <f t="shared" si="19"/>
        <v>6.216021860888521</v>
      </c>
      <c r="H158" s="2">
        <f t="shared" si="13"/>
        <v>3945.1069075461114</v>
      </c>
      <c r="I158" s="13">
        <f t="shared" si="20"/>
        <v>0.17629652121546377</v>
      </c>
      <c r="J158" s="10">
        <f t="shared" si="14"/>
        <v>12.220117699827794</v>
      </c>
    </row>
    <row r="159" spans="1:10" ht="12.75">
      <c r="A159">
        <f t="shared" si="21"/>
        <v>216</v>
      </c>
      <c r="B159" s="10">
        <f t="shared" si="24"/>
        <v>16.29032258064516</v>
      </c>
      <c r="C159" s="13">
        <f t="shared" si="15"/>
        <v>1.8460204081632652</v>
      </c>
      <c r="D159" s="13">
        <f t="shared" si="16"/>
        <v>0</v>
      </c>
      <c r="E159" s="13">
        <f t="shared" si="17"/>
        <v>8.304599815918273</v>
      </c>
      <c r="F159" s="13">
        <f t="shared" si="18"/>
        <v>10.150620224081539</v>
      </c>
      <c r="G159" s="13">
        <f t="shared" si="19"/>
        <v>6.139702356563621</v>
      </c>
      <c r="H159" s="2">
        <f t="shared" si="13"/>
        <v>3945.1069075461114</v>
      </c>
      <c r="I159" s="13">
        <f t="shared" si="20"/>
        <v>0.17848797323251223</v>
      </c>
      <c r="J159" s="10">
        <f t="shared" si="14"/>
        <v>12.041629726595282</v>
      </c>
    </row>
    <row r="160" spans="1:10" ht="12.75">
      <c r="A160">
        <f t="shared" si="21"/>
        <v>217</v>
      </c>
      <c r="B160" s="10">
        <f t="shared" si="24"/>
        <v>16.129032258064516</v>
      </c>
      <c r="C160" s="13">
        <f t="shared" si="15"/>
        <v>1.8226530612244898</v>
      </c>
      <c r="D160" s="13">
        <f t="shared" si="16"/>
        <v>0</v>
      </c>
      <c r="E160" s="13">
        <f t="shared" si="17"/>
        <v>8.242134773086155</v>
      </c>
      <c r="F160" s="13">
        <f t="shared" si="18"/>
        <v>10.064787834310644</v>
      </c>
      <c r="G160" s="13">
        <f t="shared" si="19"/>
        <v>6.0642444237538715</v>
      </c>
      <c r="H160" s="2">
        <f t="shared" si="13"/>
        <v>3945.1069075461114</v>
      </c>
      <c r="I160" s="13">
        <f t="shared" si="20"/>
        <v>0.18070891496084548</v>
      </c>
      <c r="J160" s="10">
        <f t="shared" si="14"/>
        <v>11.860920811634436</v>
      </c>
    </row>
    <row r="161" spans="1:10" ht="12.75">
      <c r="A161">
        <f t="shared" si="21"/>
        <v>218</v>
      </c>
      <c r="B161" s="10">
        <f t="shared" si="24"/>
        <v>15.967741935483872</v>
      </c>
      <c r="C161" s="13">
        <f t="shared" si="15"/>
        <v>1.7992857142857142</v>
      </c>
      <c r="D161" s="13">
        <f t="shared" si="16"/>
        <v>0</v>
      </c>
      <c r="E161" s="13">
        <f t="shared" si="17"/>
        <v>8.17880016278696</v>
      </c>
      <c r="F161" s="13">
        <f t="shared" si="18"/>
        <v>9.978085877072674</v>
      </c>
      <c r="G161" s="13">
        <f t="shared" si="19"/>
        <v>5.989656058411198</v>
      </c>
      <c r="H161" s="2">
        <f t="shared" si="13"/>
        <v>3945.1069075461114</v>
      </c>
      <c r="I161" s="13">
        <f t="shared" si="20"/>
        <v>0.18295925829247128</v>
      </c>
      <c r="J161" s="10">
        <f t="shared" si="14"/>
        <v>11.677961553341966</v>
      </c>
    </row>
    <row r="162" spans="1:10" ht="12.75">
      <c r="A162">
        <f t="shared" si="21"/>
        <v>219</v>
      </c>
      <c r="B162" s="10">
        <f t="shared" si="24"/>
        <v>15.806451612903226</v>
      </c>
      <c r="C162" s="13">
        <f t="shared" si="15"/>
        <v>1.7759183673469388</v>
      </c>
      <c r="D162" s="13">
        <f t="shared" si="16"/>
        <v>0</v>
      </c>
      <c r="E162" s="13">
        <f t="shared" si="17"/>
        <v>8.114587952135949</v>
      </c>
      <c r="F162" s="13">
        <f t="shared" si="18"/>
        <v>9.890506319482888</v>
      </c>
      <c r="G162" s="13">
        <f t="shared" si="19"/>
        <v>5.915945293420338</v>
      </c>
      <c r="H162" s="2">
        <f t="shared" si="13"/>
        <v>3945.1069075461114</v>
      </c>
      <c r="I162" s="13">
        <f t="shared" si="20"/>
        <v>0.18523887147718035</v>
      </c>
      <c r="J162" s="10">
        <f t="shared" si="14"/>
        <v>11.492722681864786</v>
      </c>
    </row>
    <row r="163" spans="1:10" ht="12.75">
      <c r="A163">
        <f t="shared" si="21"/>
        <v>220</v>
      </c>
      <c r="B163" s="10">
        <f t="shared" si="24"/>
        <v>15.64516129032258</v>
      </c>
      <c r="C163" s="13">
        <f t="shared" si="15"/>
        <v>1.7525510204081631</v>
      </c>
      <c r="D163" s="13">
        <f t="shared" si="16"/>
        <v>0</v>
      </c>
      <c r="E163" s="13">
        <f t="shared" si="17"/>
        <v>8.049490071315585</v>
      </c>
      <c r="F163" s="13">
        <f t="shared" si="18"/>
        <v>9.802041091723748</v>
      </c>
      <c r="G163" s="13">
        <f t="shared" si="19"/>
        <v>5.843120198598832</v>
      </c>
      <c r="H163" s="2">
        <f t="shared" si="13"/>
        <v>3945.1069075461114</v>
      </c>
      <c r="I163" s="13">
        <f t="shared" si="20"/>
        <v>0.18754757605991154</v>
      </c>
      <c r="J163" s="10">
        <f t="shared" si="14"/>
        <v>11.305175105804874</v>
      </c>
    </row>
    <row r="164" spans="1:10" ht="12.75">
      <c r="A164">
        <f t="shared" si="21"/>
        <v>221</v>
      </c>
      <c r="B164" s="10">
        <f t="shared" si="24"/>
        <v>15.483870967741936</v>
      </c>
      <c r="C164" s="13">
        <f t="shared" si="15"/>
        <v>1.7291836734693877</v>
      </c>
      <c r="D164" s="13">
        <f t="shared" si="16"/>
        <v>0</v>
      </c>
      <c r="E164" s="13">
        <f t="shared" si="17"/>
        <v>7.98349841357552</v>
      </c>
      <c r="F164" s="13">
        <f t="shared" si="18"/>
        <v>9.712682087044907</v>
      </c>
      <c r="G164" s="13">
        <f t="shared" si="19"/>
        <v>5.771188880697029</v>
      </c>
      <c r="H164" s="2">
        <f t="shared" si="13"/>
        <v>3945.1069075461114</v>
      </c>
      <c r="I164" s="13">
        <f t="shared" si="20"/>
        <v>0.1898851436901099</v>
      </c>
      <c r="J164" s="10">
        <f t="shared" si="14"/>
        <v>11.115289962114765</v>
      </c>
    </row>
    <row r="165" spans="1:10" ht="12.75">
      <c r="A165">
        <f t="shared" si="21"/>
        <v>222</v>
      </c>
      <c r="B165" s="10">
        <f t="shared" si="24"/>
        <v>15.322580645161292</v>
      </c>
      <c r="C165" s="13">
        <f t="shared" si="15"/>
        <v>1.705816326530612</v>
      </c>
      <c r="D165" s="13">
        <f t="shared" si="16"/>
        <v>0</v>
      </c>
      <c r="E165" s="13">
        <f t="shared" si="17"/>
        <v>7.916604835232611</v>
      </c>
      <c r="F165" s="13">
        <f t="shared" si="18"/>
        <v>9.622421161763222</v>
      </c>
      <c r="G165" s="13">
        <f t="shared" si="19"/>
        <v>5.700159483398069</v>
      </c>
      <c r="H165" s="2">
        <f t="shared" si="13"/>
        <v>3945.1069075461114</v>
      </c>
      <c r="I165" s="13">
        <f t="shared" si="20"/>
        <v>0.19225129280429124</v>
      </c>
      <c r="J165" s="10">
        <f t="shared" si="14"/>
        <v>10.923038669310474</v>
      </c>
    </row>
    <row r="166" spans="1:10" ht="12.75">
      <c r="A166">
        <f t="shared" si="21"/>
        <v>223</v>
      </c>
      <c r="B166" s="10">
        <f t="shared" si="24"/>
        <v>15.161290322580644</v>
      </c>
      <c r="C166" s="13">
        <f t="shared" si="15"/>
        <v>1.6824489795918367</v>
      </c>
      <c r="D166" s="13">
        <f t="shared" si="16"/>
        <v>0</v>
      </c>
      <c r="E166" s="13">
        <f t="shared" si="17"/>
        <v>7.848801155670905</v>
      </c>
      <c r="F166" s="13">
        <f t="shared" si="18"/>
        <v>9.531250135262741</v>
      </c>
      <c r="G166" s="13">
        <f t="shared" si="19"/>
        <v>5.630040187317903</v>
      </c>
      <c r="H166" s="2">
        <f t="shared" si="13"/>
        <v>3945.1069075461114</v>
      </c>
      <c r="I166" s="13">
        <f t="shared" si="20"/>
        <v>0.19464568518399486</v>
      </c>
      <c r="J166" s="10">
        <f t="shared" si="14"/>
        <v>10.72839298412648</v>
      </c>
    </row>
    <row r="167" spans="1:10" ht="12.75">
      <c r="A167" s="14">
        <f t="shared" si="21"/>
        <v>224</v>
      </c>
      <c r="B167" s="14">
        <v>15</v>
      </c>
      <c r="C167" s="13">
        <f t="shared" si="15"/>
        <v>1.659081632653061</v>
      </c>
      <c r="D167" s="13">
        <f t="shared" si="16"/>
        <v>0</v>
      </c>
      <c r="E167" s="13">
        <f t="shared" si="17"/>
        <v>7.7800791573416515</v>
      </c>
      <c r="F167" s="13">
        <f t="shared" si="18"/>
        <v>9.439160789994713</v>
      </c>
      <c r="G167" s="13">
        <f t="shared" si="19"/>
        <v>5.5608392100052875</v>
      </c>
      <c r="H167" s="2">
        <f t="shared" si="13"/>
        <v>3945.1069075461114</v>
      </c>
      <c r="I167" s="13">
        <f t="shared" si="20"/>
        <v>0.19706792239239693</v>
      </c>
      <c r="J167" s="10">
        <f t="shared" si="14"/>
        <v>10.531325061734082</v>
      </c>
    </row>
    <row r="168" spans="1:10" ht="12.75">
      <c r="A168">
        <f t="shared" si="21"/>
        <v>225</v>
      </c>
      <c r="B168" s="10">
        <f>(A168-A$167)/(A$176-A$167)*(B$176-B$167)+B$167</f>
        <v>14.777777777777779</v>
      </c>
      <c r="C168" s="13">
        <f t="shared" si="15"/>
        <v>1.6357142857142857</v>
      </c>
      <c r="D168" s="13">
        <f t="shared" si="16"/>
        <v>0</v>
      </c>
      <c r="E168" s="13">
        <f t="shared" si="17"/>
        <v>7.710430585763291</v>
      </c>
      <c r="F168" s="13">
        <f t="shared" si="18"/>
        <v>9.346144871477577</v>
      </c>
      <c r="G168" s="13">
        <f t="shared" si="19"/>
        <v>5.431632906300202</v>
      </c>
      <c r="H168" s="2">
        <f t="shared" si="13"/>
        <v>3945.1069075461114</v>
      </c>
      <c r="I168" s="13">
        <f t="shared" si="20"/>
        <v>0.20175572406648065</v>
      </c>
      <c r="J168" s="10">
        <f t="shared" si="14"/>
        <v>10.329569337667602</v>
      </c>
    </row>
    <row r="169" spans="1:10" ht="12.75">
      <c r="A169">
        <f t="shared" si="21"/>
        <v>226</v>
      </c>
      <c r="B169" s="10">
        <f aca="true" t="shared" si="25" ref="B169:B175">(A169-A$167)/(A$176-A$167)*(B$176-B$167)+B$167</f>
        <v>14.555555555555555</v>
      </c>
      <c r="C169" s="13">
        <f t="shared" si="15"/>
        <v>1.61234693877551</v>
      </c>
      <c r="D169" s="13">
        <f t="shared" si="16"/>
        <v>0</v>
      </c>
      <c r="E169" s="13">
        <f t="shared" si="17"/>
        <v>7.639847149521464</v>
      </c>
      <c r="F169" s="13">
        <f t="shared" si="18"/>
        <v>9.252194088296974</v>
      </c>
      <c r="G169" s="13">
        <f t="shared" si="19"/>
        <v>5.303361467258581</v>
      </c>
      <c r="H169" s="2">
        <f t="shared" si="13"/>
        <v>3945.1069075461114</v>
      </c>
      <c r="I169" s="13">
        <f t="shared" si="20"/>
        <v>0.2066355530618573</v>
      </c>
      <c r="J169" s="10">
        <f t="shared" si="14"/>
        <v>10.122933784605744</v>
      </c>
    </row>
    <row r="170" spans="1:10" ht="12.75">
      <c r="A170">
        <f t="shared" si="21"/>
        <v>227</v>
      </c>
      <c r="B170" s="10">
        <f t="shared" si="25"/>
        <v>14.333333333333334</v>
      </c>
      <c r="C170" s="13">
        <f t="shared" si="15"/>
        <v>1.5889795918367347</v>
      </c>
      <c r="D170" s="13">
        <f t="shared" si="16"/>
        <v>0</v>
      </c>
      <c r="E170" s="13">
        <f t="shared" si="17"/>
        <v>7.568320520269007</v>
      </c>
      <c r="F170" s="13">
        <f t="shared" si="18"/>
        <v>9.157300112105743</v>
      </c>
      <c r="G170" s="13">
        <f t="shared" si="19"/>
        <v>5.176033221227591</v>
      </c>
      <c r="H170" s="2">
        <f t="shared" si="13"/>
        <v>3945.1069075461114</v>
      </c>
      <c r="I170" s="13">
        <f t="shared" si="20"/>
        <v>0.21171870098894302</v>
      </c>
      <c r="J170" s="10">
        <f t="shared" si="14"/>
        <v>9.911215083616801</v>
      </c>
    </row>
    <row r="171" spans="1:10" ht="12.75">
      <c r="A171">
        <f t="shared" si="21"/>
        <v>228</v>
      </c>
      <c r="B171" s="10">
        <f t="shared" si="25"/>
        <v>14.11111111111111</v>
      </c>
      <c r="C171" s="13">
        <f t="shared" si="15"/>
        <v>1.565612244897959</v>
      </c>
      <c r="D171" s="13">
        <f t="shared" si="16"/>
        <v>0</v>
      </c>
      <c r="E171" s="13">
        <f t="shared" si="17"/>
        <v>7.495842332725953</v>
      </c>
      <c r="F171" s="13">
        <f t="shared" si="18"/>
        <v>9.061454577623913</v>
      </c>
      <c r="G171" s="13">
        <f t="shared" si="19"/>
        <v>5.049656533487198</v>
      </c>
      <c r="H171" s="2">
        <f t="shared" si="13"/>
        <v>3945.1069075461114</v>
      </c>
      <c r="I171" s="13">
        <f t="shared" si="20"/>
        <v>0.217017340210491</v>
      </c>
      <c r="J171" s="10">
        <f t="shared" si="14"/>
        <v>9.69419774340631</v>
      </c>
    </row>
    <row r="172" spans="1:10" ht="12.75">
      <c r="A172">
        <f t="shared" si="21"/>
        <v>229</v>
      </c>
      <c r="B172" s="10">
        <f t="shared" si="25"/>
        <v>13.88888888888889</v>
      </c>
      <c r="C172" s="13">
        <f t="shared" si="15"/>
        <v>1.5422448979591836</v>
      </c>
      <c r="D172" s="13">
        <f t="shared" si="16"/>
        <v>0</v>
      </c>
      <c r="E172" s="13">
        <f t="shared" si="17"/>
        <v>7.422404184679531</v>
      </c>
      <c r="F172" s="13">
        <f t="shared" si="18"/>
        <v>8.964649082638715</v>
      </c>
      <c r="G172" s="13">
        <f t="shared" si="19"/>
        <v>4.924239806250174</v>
      </c>
      <c r="H172" s="2">
        <f t="shared" si="13"/>
        <v>3945.1069075461114</v>
      </c>
      <c r="I172" s="13">
        <f t="shared" si="20"/>
        <v>0.22254461053724015</v>
      </c>
      <c r="J172" s="10">
        <f t="shared" si="14"/>
        <v>9.47165313286907</v>
      </c>
    </row>
    <row r="173" spans="1:10" ht="12.75">
      <c r="A173">
        <f t="shared" si="21"/>
        <v>230</v>
      </c>
      <c r="B173" s="10">
        <f t="shared" si="25"/>
        <v>13.666666666666666</v>
      </c>
      <c r="C173" s="13">
        <f t="shared" si="15"/>
        <v>1.518877551020408</v>
      </c>
      <c r="D173" s="13">
        <f t="shared" si="16"/>
        <v>0</v>
      </c>
      <c r="E173" s="13">
        <f t="shared" si="17"/>
        <v>7.347997636984166</v>
      </c>
      <c r="F173" s="13">
        <f t="shared" si="18"/>
        <v>8.866875188004574</v>
      </c>
      <c r="G173" s="13">
        <f t="shared" si="19"/>
        <v>4.799791478662092</v>
      </c>
      <c r="H173" s="2">
        <f t="shared" si="13"/>
        <v>3945.1069075461114</v>
      </c>
      <c r="I173" s="13">
        <f t="shared" si="20"/>
        <v>0.22831471632584005</v>
      </c>
      <c r="J173" s="10">
        <f t="shared" si="14"/>
        <v>9.24333841654323</v>
      </c>
    </row>
    <row r="174" spans="1:10" ht="12.75">
      <c r="A174">
        <f t="shared" si="21"/>
        <v>231</v>
      </c>
      <c r="B174" s="10">
        <f t="shared" si="25"/>
        <v>13.444444444444445</v>
      </c>
      <c r="C174" s="13">
        <f t="shared" si="15"/>
        <v>1.4955102040816326</v>
      </c>
      <c r="D174" s="13">
        <f t="shared" si="16"/>
        <v>0</v>
      </c>
      <c r="E174" s="13">
        <f t="shared" si="17"/>
        <v>7.272614213561483</v>
      </c>
      <c r="F174" s="13">
        <f t="shared" si="18"/>
        <v>8.768124417643115</v>
      </c>
      <c r="G174" s="13">
        <f t="shared" si="19"/>
        <v>4.67632002680133</v>
      </c>
      <c r="H174" s="2">
        <f t="shared" si="13"/>
        <v>3945.1069075461114</v>
      </c>
      <c r="I174" s="13">
        <f t="shared" si="20"/>
        <v>0.2343430354623325</v>
      </c>
      <c r="J174" s="10">
        <f t="shared" si="14"/>
        <v>9.008995381080897</v>
      </c>
    </row>
    <row r="175" spans="1:10" ht="12.75">
      <c r="A175">
        <f t="shared" si="21"/>
        <v>232</v>
      </c>
      <c r="B175" s="10">
        <f t="shared" si="25"/>
        <v>13.222222222222221</v>
      </c>
      <c r="C175" s="13">
        <f t="shared" si="15"/>
        <v>1.4721428571428572</v>
      </c>
      <c r="D175" s="13">
        <f t="shared" si="16"/>
        <v>0</v>
      </c>
      <c r="E175" s="13">
        <f t="shared" si="17"/>
        <v>7.196245401400299</v>
      </c>
      <c r="F175" s="13">
        <f t="shared" si="18"/>
        <v>8.668388258543157</v>
      </c>
      <c r="G175" s="13">
        <f t="shared" si="19"/>
        <v>4.553833963679065</v>
      </c>
      <c r="H175" s="2">
        <f t="shared" si="13"/>
        <v>3945.1069075461114</v>
      </c>
      <c r="I175" s="13">
        <f t="shared" si="20"/>
        <v>0.24064624196104129</v>
      </c>
      <c r="J175" s="10">
        <f t="shared" si="14"/>
        <v>8.768349139119856</v>
      </c>
    </row>
    <row r="176" spans="1:10" ht="12.75">
      <c r="A176" s="14">
        <f t="shared" si="21"/>
        <v>233</v>
      </c>
      <c r="B176" s="14">
        <v>13</v>
      </c>
      <c r="C176" s="13">
        <f t="shared" si="15"/>
        <v>1.4487755102040816</v>
      </c>
      <c r="D176" s="13">
        <f t="shared" si="16"/>
        <v>0</v>
      </c>
      <c r="E176" s="13">
        <f t="shared" si="17"/>
        <v>7.118882650556632</v>
      </c>
      <c r="F176" s="13">
        <f t="shared" si="18"/>
        <v>8.567658160760713</v>
      </c>
      <c r="G176" s="13">
        <f t="shared" si="19"/>
        <v>4.432341839239287</v>
      </c>
      <c r="H176" s="2">
        <f aca="true" t="shared" si="26" ref="H176:H239">H177</f>
        <v>3945.1069075461114</v>
      </c>
      <c r="I176" s="13">
        <f t="shared" si="20"/>
        <v>0.24724244420236333</v>
      </c>
      <c r="J176" s="10">
        <f aca="true" t="shared" si="27" ref="J176:J236">J177+I177</f>
        <v>8.521106694917492</v>
      </c>
    </row>
    <row r="177" spans="1:10" ht="12.75">
      <c r="A177">
        <f t="shared" si="21"/>
        <v>234</v>
      </c>
      <c r="B177" s="10">
        <f>(A177-A$176)/(A$216-A$176)*(B$216-B$176)+B$176</f>
        <v>13.0125</v>
      </c>
      <c r="C177" s="13">
        <f aca="true" t="shared" si="28" ref="C177:C240">(D$7-A177)*(1/D$12+1/D$13)</f>
        <v>1.4254081632653062</v>
      </c>
      <c r="D177" s="13">
        <f aca="true" t="shared" si="29" ref="D177:D240">MAX((D$8-A177)/D$11,0)</f>
        <v>0</v>
      </c>
      <c r="E177" s="13">
        <f aca="true" t="shared" si="30" ref="E177:E240">D$15*(D$18*D$20*D$16+D$19*D$21*D$17)*(D$7^4-MAX(A177,D$8)^4)</f>
        <v>7.040517374153693</v>
      </c>
      <c r="F177" s="13">
        <f aca="true" t="shared" si="31" ref="F177:F240">SUM(C177:E177)</f>
        <v>8.465925537419</v>
      </c>
      <c r="G177" s="13">
        <f aca="true" t="shared" si="32" ref="G177:G240">B177-F177</f>
        <v>4.546574462580999</v>
      </c>
      <c r="H177" s="2">
        <f t="shared" si="26"/>
        <v>3945.1069075461114</v>
      </c>
      <c r="I177" s="13">
        <f aca="true" t="shared" si="33" ref="I177:I240">H177/G177/3600</f>
        <v>0.24103048105624128</v>
      </c>
      <c r="J177" s="10">
        <f t="shared" si="27"/>
        <v>8.280076213861252</v>
      </c>
    </row>
    <row r="178" spans="1:10" ht="12.75">
      <c r="A178">
        <f aca="true" t="shared" si="34" ref="A178:A241">A177+1</f>
        <v>235</v>
      </c>
      <c r="B178" s="10">
        <f aca="true" t="shared" si="35" ref="B178:B215">(A178-A$176)/(A$216-A$176)*(B$216-B$176)+B$176</f>
        <v>13.025</v>
      </c>
      <c r="C178" s="13">
        <f t="shared" si="28"/>
        <v>1.4020408163265305</v>
      </c>
      <c r="D178" s="13">
        <f t="shared" si="29"/>
        <v>0</v>
      </c>
      <c r="E178" s="13">
        <f t="shared" si="30"/>
        <v>6.9611409483818925</v>
      </c>
      <c r="F178" s="13">
        <f t="shared" si="31"/>
        <v>8.363181764708424</v>
      </c>
      <c r="G178" s="13">
        <f t="shared" si="32"/>
        <v>4.661818235291577</v>
      </c>
      <c r="H178" s="2">
        <f t="shared" si="26"/>
        <v>3945.1069075461114</v>
      </c>
      <c r="I178" s="13">
        <f t="shared" si="33"/>
        <v>0.2350720200924733</v>
      </c>
      <c r="J178" s="10">
        <f t="shared" si="27"/>
        <v>8.045004193768778</v>
      </c>
    </row>
    <row r="179" spans="1:10" ht="12.75">
      <c r="A179">
        <f t="shared" si="34"/>
        <v>236</v>
      </c>
      <c r="B179" s="10">
        <f t="shared" si="35"/>
        <v>13.0375</v>
      </c>
      <c r="C179" s="13">
        <f t="shared" si="28"/>
        <v>1.3786734693877551</v>
      </c>
      <c r="D179" s="13">
        <f t="shared" si="29"/>
        <v>0</v>
      </c>
      <c r="E179" s="13">
        <f t="shared" si="30"/>
        <v>6.880744712498835</v>
      </c>
      <c r="F179" s="13">
        <f t="shared" si="31"/>
        <v>8.25941818188659</v>
      </c>
      <c r="G179" s="13">
        <f t="shared" si="32"/>
        <v>4.77808181811341</v>
      </c>
      <c r="H179" s="2">
        <f t="shared" si="26"/>
        <v>3945.1069075461114</v>
      </c>
      <c r="I179" s="13">
        <f t="shared" si="33"/>
        <v>0.2293520855418531</v>
      </c>
      <c r="J179" s="10">
        <f t="shared" si="27"/>
        <v>7.815652108226924</v>
      </c>
    </row>
    <row r="180" spans="1:10" ht="12.75">
      <c r="A180">
        <f t="shared" si="34"/>
        <v>237</v>
      </c>
      <c r="B180" s="10">
        <f t="shared" si="35"/>
        <v>13.05</v>
      </c>
      <c r="C180" s="13">
        <f t="shared" si="28"/>
        <v>1.3553061224489795</v>
      </c>
      <c r="D180" s="13">
        <f t="shared" si="29"/>
        <v>0</v>
      </c>
      <c r="E180" s="13">
        <f t="shared" si="30"/>
        <v>6.799319968829323</v>
      </c>
      <c r="F180" s="13">
        <f t="shared" si="31"/>
        <v>8.154626091278303</v>
      </c>
      <c r="G180" s="13">
        <f t="shared" si="32"/>
        <v>4.895373908721698</v>
      </c>
      <c r="H180" s="2">
        <f t="shared" si="26"/>
        <v>3945.1069075461114</v>
      </c>
      <c r="I180" s="13">
        <f t="shared" si="33"/>
        <v>0.22385685962036686</v>
      </c>
      <c r="J180" s="10">
        <f t="shared" si="27"/>
        <v>7.591795248606558</v>
      </c>
    </row>
    <row r="181" spans="1:10" ht="12.75">
      <c r="A181">
        <f t="shared" si="34"/>
        <v>238</v>
      </c>
      <c r="B181" s="10">
        <f t="shared" si="35"/>
        <v>13.0625</v>
      </c>
      <c r="C181" s="13">
        <f t="shared" si="28"/>
        <v>1.3319387755102041</v>
      </c>
      <c r="D181" s="13">
        <f t="shared" si="29"/>
        <v>0</v>
      </c>
      <c r="E181" s="13">
        <f t="shared" si="30"/>
        <v>6.716857982765355</v>
      </c>
      <c r="F181" s="13">
        <f t="shared" si="31"/>
        <v>8.048796758275559</v>
      </c>
      <c r="G181" s="13">
        <f t="shared" si="32"/>
        <v>5.013703241724441</v>
      </c>
      <c r="H181" s="2">
        <f t="shared" si="26"/>
        <v>3945.1069075461114</v>
      </c>
      <c r="I181" s="13">
        <f t="shared" si="33"/>
        <v>0.21857357267459704</v>
      </c>
      <c r="J181" s="10">
        <f t="shared" si="27"/>
        <v>7.373221675931961</v>
      </c>
    </row>
    <row r="182" spans="1:10" ht="12.75">
      <c r="A182">
        <f t="shared" si="34"/>
        <v>239</v>
      </c>
      <c r="B182" s="10">
        <f t="shared" si="35"/>
        <v>13.075</v>
      </c>
      <c r="C182" s="13">
        <f t="shared" si="28"/>
        <v>1.3085714285714285</v>
      </c>
      <c r="D182" s="13">
        <f t="shared" si="29"/>
        <v>0</v>
      </c>
      <c r="E182" s="13">
        <f t="shared" si="30"/>
        <v>6.633349982766129</v>
      </c>
      <c r="F182" s="13">
        <f t="shared" si="31"/>
        <v>7.941921411337558</v>
      </c>
      <c r="G182" s="13">
        <f t="shared" si="32"/>
        <v>5.133078588662442</v>
      </c>
      <c r="H182" s="2">
        <f t="shared" si="26"/>
        <v>3945.1069075461114</v>
      </c>
      <c r="I182" s="13">
        <f t="shared" si="33"/>
        <v>0.21349040560072072</v>
      </c>
      <c r="J182" s="10">
        <f t="shared" si="27"/>
        <v>7.159731270331241</v>
      </c>
    </row>
    <row r="183" spans="1:10" ht="12.75">
      <c r="A183">
        <f t="shared" si="34"/>
        <v>240</v>
      </c>
      <c r="B183" s="10">
        <f t="shared" si="35"/>
        <v>13.0875</v>
      </c>
      <c r="C183" s="13">
        <f t="shared" si="28"/>
        <v>1.285204081632653</v>
      </c>
      <c r="D183" s="13">
        <f t="shared" si="29"/>
        <v>0</v>
      </c>
      <c r="E183" s="13">
        <f t="shared" si="30"/>
        <v>6.548787160358035</v>
      </c>
      <c r="F183" s="13">
        <f t="shared" si="31"/>
        <v>7.833991241990688</v>
      </c>
      <c r="G183" s="13">
        <f t="shared" si="32"/>
        <v>5.253508758009312</v>
      </c>
      <c r="H183" s="2">
        <f t="shared" si="26"/>
        <v>3945.1069075461114</v>
      </c>
      <c r="I183" s="13">
        <f t="shared" si="33"/>
        <v>0.2085964029665328</v>
      </c>
      <c r="J183" s="10">
        <f t="shared" si="27"/>
        <v>6.951134867364708</v>
      </c>
    </row>
    <row r="184" spans="1:10" ht="12.75">
      <c r="A184">
        <f t="shared" si="34"/>
        <v>241</v>
      </c>
      <c r="B184" s="10">
        <f t="shared" si="35"/>
        <v>13.1</v>
      </c>
      <c r="C184" s="13">
        <f t="shared" si="28"/>
        <v>1.2618367346938775</v>
      </c>
      <c r="D184" s="13">
        <f t="shared" si="29"/>
        <v>0</v>
      </c>
      <c r="E184" s="13">
        <f t="shared" si="30"/>
        <v>6.463160670134663</v>
      </c>
      <c r="F184" s="13">
        <f t="shared" si="31"/>
        <v>7.724997404828541</v>
      </c>
      <c r="G184" s="13">
        <f t="shared" si="32"/>
        <v>5.375002595171459</v>
      </c>
      <c r="H184" s="2">
        <f t="shared" si="26"/>
        <v>3945.1069075461114</v>
      </c>
      <c r="I184" s="13">
        <f t="shared" si="33"/>
        <v>0.20388139549148673</v>
      </c>
      <c r="J184" s="10">
        <f t="shared" si="27"/>
        <v>6.747253471873221</v>
      </c>
    </row>
    <row r="185" spans="1:10" ht="12.75">
      <c r="A185">
        <f t="shared" si="34"/>
        <v>242</v>
      </c>
      <c r="B185" s="10">
        <f t="shared" si="35"/>
        <v>13.1125</v>
      </c>
      <c r="C185" s="13">
        <f t="shared" si="28"/>
        <v>1.238469387755102</v>
      </c>
      <c r="D185" s="13">
        <f t="shared" si="29"/>
        <v>0</v>
      </c>
      <c r="E185" s="13">
        <f t="shared" si="30"/>
        <v>6.376461629756797</v>
      </c>
      <c r="F185" s="13">
        <f t="shared" si="31"/>
        <v>7.614931017511899</v>
      </c>
      <c r="G185" s="13">
        <f t="shared" si="32"/>
        <v>5.497568982488102</v>
      </c>
      <c r="H185" s="2">
        <f t="shared" si="26"/>
        <v>3945.1069075461114</v>
      </c>
      <c r="I185" s="13">
        <f t="shared" si="33"/>
        <v>0.19933593072950434</v>
      </c>
      <c r="J185" s="10">
        <f t="shared" si="27"/>
        <v>6.5479175411437165</v>
      </c>
    </row>
    <row r="186" spans="1:10" ht="12.75">
      <c r="A186">
        <f t="shared" si="34"/>
        <v>243</v>
      </c>
      <c r="B186" s="10">
        <f t="shared" si="35"/>
        <v>13.125</v>
      </c>
      <c r="C186" s="13">
        <f t="shared" si="28"/>
        <v>1.2151020408163264</v>
      </c>
      <c r="D186" s="13">
        <f t="shared" si="29"/>
        <v>0</v>
      </c>
      <c r="E186" s="13">
        <f t="shared" si="30"/>
        <v>6.28868111995242</v>
      </c>
      <c r="F186" s="13">
        <f t="shared" si="31"/>
        <v>7.503783160768746</v>
      </c>
      <c r="G186" s="13">
        <f t="shared" si="32"/>
        <v>5.621216839231254</v>
      </c>
      <c r="H186" s="2">
        <f t="shared" si="26"/>
        <v>3945.1069075461114</v>
      </c>
      <c r="I186" s="13">
        <f t="shared" si="33"/>
        <v>0.19495121095947401</v>
      </c>
      <c r="J186" s="10">
        <f t="shared" si="27"/>
        <v>6.352966330184242</v>
      </c>
    </row>
    <row r="187" spans="1:10" ht="12.75">
      <c r="A187">
        <f t="shared" si="34"/>
        <v>244</v>
      </c>
      <c r="B187" s="10">
        <f t="shared" si="35"/>
        <v>13.1375</v>
      </c>
      <c r="C187" s="13">
        <f t="shared" si="28"/>
        <v>1.191734693877551</v>
      </c>
      <c r="D187" s="13">
        <f t="shared" si="29"/>
        <v>0</v>
      </c>
      <c r="E187" s="13">
        <f t="shared" si="30"/>
        <v>6.199810184516711</v>
      </c>
      <c r="F187" s="13">
        <f t="shared" si="31"/>
        <v>7.391544878394262</v>
      </c>
      <c r="G187" s="13">
        <f t="shared" si="32"/>
        <v>5.745955121605737</v>
      </c>
      <c r="H187" s="2">
        <f t="shared" si="26"/>
        <v>3945.1069075461114</v>
      </c>
      <c r="I187" s="13">
        <f t="shared" si="33"/>
        <v>0.1907190374239601</v>
      </c>
      <c r="J187" s="10">
        <f t="shared" si="27"/>
        <v>6.162247292760282</v>
      </c>
    </row>
    <row r="188" spans="1:10" ht="12.75">
      <c r="A188">
        <f t="shared" si="34"/>
        <v>245</v>
      </c>
      <c r="B188" s="10">
        <f t="shared" si="35"/>
        <v>13.15</v>
      </c>
      <c r="C188" s="13">
        <f t="shared" si="28"/>
        <v>1.1683673469387754</v>
      </c>
      <c r="D188" s="13">
        <f t="shared" si="29"/>
        <v>0</v>
      </c>
      <c r="E188" s="13">
        <f t="shared" si="30"/>
        <v>6.109839830312044</v>
      </c>
      <c r="F188" s="13">
        <f t="shared" si="31"/>
        <v>7.2782071772508194</v>
      </c>
      <c r="G188" s="13">
        <f t="shared" si="32"/>
        <v>5.871792822749181</v>
      </c>
      <c r="H188" s="2">
        <f t="shared" si="26"/>
        <v>3945.1069075461114</v>
      </c>
      <c r="I188" s="13">
        <f t="shared" si="33"/>
        <v>0.1866317601718167</v>
      </c>
      <c r="J188" s="10">
        <f t="shared" si="27"/>
        <v>5.975615532588465</v>
      </c>
    </row>
    <row r="189" spans="1:10" ht="12.75">
      <c r="A189">
        <f t="shared" si="34"/>
        <v>246</v>
      </c>
      <c r="B189" s="10">
        <f t="shared" si="35"/>
        <v>13.1625</v>
      </c>
      <c r="C189" s="13">
        <f t="shared" si="28"/>
        <v>1.145</v>
      </c>
      <c r="D189" s="13">
        <f t="shared" si="29"/>
        <v>0</v>
      </c>
      <c r="E189" s="13">
        <f t="shared" si="30"/>
        <v>6.018761027267992</v>
      </c>
      <c r="F189" s="13">
        <f t="shared" si="31"/>
        <v>7.1637610272679915</v>
      </c>
      <c r="G189" s="13">
        <f t="shared" si="32"/>
        <v>5.998738972732008</v>
      </c>
      <c r="H189" s="2">
        <f t="shared" si="26"/>
        <v>3945.1069075461114</v>
      </c>
      <c r="I189" s="13">
        <f t="shared" si="33"/>
        <v>0.18268223285848867</v>
      </c>
      <c r="J189" s="10">
        <f t="shared" si="27"/>
        <v>5.7929332997299765</v>
      </c>
    </row>
    <row r="190" spans="1:10" ht="12.75">
      <c r="A190">
        <f t="shared" si="34"/>
        <v>247</v>
      </c>
      <c r="B190" s="10">
        <f t="shared" si="35"/>
        <v>13.175</v>
      </c>
      <c r="C190" s="13">
        <f t="shared" si="28"/>
        <v>1.1216326530612244</v>
      </c>
      <c r="D190" s="13">
        <f t="shared" si="29"/>
        <v>0</v>
      </c>
      <c r="E190" s="13">
        <f t="shared" si="30"/>
        <v>5.926564708381323</v>
      </c>
      <c r="F190" s="13">
        <f t="shared" si="31"/>
        <v>7.048197361442548</v>
      </c>
      <c r="G190" s="13">
        <f t="shared" si="32"/>
        <v>6.126802638557453</v>
      </c>
      <c r="H190" s="2">
        <f t="shared" si="26"/>
        <v>3945.1069075461114</v>
      </c>
      <c r="I190" s="13">
        <f t="shared" si="33"/>
        <v>0.17886377194156514</v>
      </c>
      <c r="J190" s="10">
        <f t="shared" si="27"/>
        <v>5.614069527788411</v>
      </c>
    </row>
    <row r="191" spans="1:10" ht="12.75">
      <c r="A191">
        <f t="shared" si="34"/>
        <v>248</v>
      </c>
      <c r="B191" s="10">
        <f t="shared" si="35"/>
        <v>13.1875</v>
      </c>
      <c r="C191" s="13">
        <f t="shared" si="28"/>
        <v>1.098265306122449</v>
      </c>
      <c r="D191" s="13">
        <f t="shared" si="29"/>
        <v>0</v>
      </c>
      <c r="E191" s="13">
        <f t="shared" si="30"/>
        <v>5.833241769716003</v>
      </c>
      <c r="F191" s="13">
        <f t="shared" si="31"/>
        <v>6.931507075838452</v>
      </c>
      <c r="G191" s="13">
        <f t="shared" si="32"/>
        <v>6.255992924161548</v>
      </c>
      <c r="H191" s="2">
        <f t="shared" si="26"/>
        <v>3945.1069075461114</v>
      </c>
      <c r="I191" s="13">
        <f t="shared" si="33"/>
        <v>0.17517011978091254</v>
      </c>
      <c r="J191" s="10">
        <f t="shared" si="27"/>
        <v>5.438899408007498</v>
      </c>
    </row>
    <row r="192" spans="1:10" ht="12.75">
      <c r="A192">
        <f t="shared" si="34"/>
        <v>249</v>
      </c>
      <c r="B192" s="10">
        <f t="shared" si="35"/>
        <v>13.2</v>
      </c>
      <c r="C192" s="13">
        <f t="shared" si="28"/>
        <v>1.0748979591836734</v>
      </c>
      <c r="D192" s="13">
        <f t="shared" si="29"/>
        <v>0</v>
      </c>
      <c r="E192" s="13">
        <f t="shared" si="30"/>
        <v>5.738783070403192</v>
      </c>
      <c r="F192" s="13">
        <f t="shared" si="31"/>
        <v>6.813681029586865</v>
      </c>
      <c r="G192" s="13">
        <f t="shared" si="32"/>
        <v>6.386318970413134</v>
      </c>
      <c r="H192" s="2">
        <f t="shared" si="26"/>
        <v>3945.1069075461114</v>
      </c>
      <c r="I192" s="13">
        <f t="shared" si="33"/>
        <v>0.17159541121433022</v>
      </c>
      <c r="J192" s="10">
        <f t="shared" si="27"/>
        <v>5.267303996793168</v>
      </c>
    </row>
    <row r="193" spans="1:10" ht="12.75">
      <c r="A193">
        <f t="shared" si="34"/>
        <v>250</v>
      </c>
      <c r="B193" s="10">
        <f t="shared" si="35"/>
        <v>13.2125</v>
      </c>
      <c r="C193" s="13">
        <f t="shared" si="28"/>
        <v>1.051530612244898</v>
      </c>
      <c r="D193" s="13">
        <f t="shared" si="29"/>
        <v>0</v>
      </c>
      <c r="E193" s="13">
        <f t="shared" si="30"/>
        <v>5.643179432641251</v>
      </c>
      <c r="F193" s="13">
        <f t="shared" si="31"/>
        <v>6.694710044886149</v>
      </c>
      <c r="G193" s="13">
        <f t="shared" si="32"/>
        <v>6.517789955113852</v>
      </c>
      <c r="H193" s="2">
        <f t="shared" si="26"/>
        <v>3945.1069075461114</v>
      </c>
      <c r="I193" s="13">
        <f t="shared" si="33"/>
        <v>0.16813414323272366</v>
      </c>
      <c r="J193" s="10">
        <f t="shared" si="27"/>
        <v>5.099169853560444</v>
      </c>
    </row>
    <row r="194" spans="1:10" ht="12.75">
      <c r="A194">
        <f t="shared" si="34"/>
        <v>251</v>
      </c>
      <c r="B194" s="10">
        <f t="shared" si="35"/>
        <v>13.225</v>
      </c>
      <c r="C194" s="13">
        <f t="shared" si="28"/>
        <v>1.0281632653061223</v>
      </c>
      <c r="D194" s="13">
        <f t="shared" si="29"/>
        <v>0</v>
      </c>
      <c r="E194" s="13">
        <f t="shared" si="30"/>
        <v>5.546421641695732</v>
      </c>
      <c r="F194" s="13">
        <f t="shared" si="31"/>
        <v>6.574584907001854</v>
      </c>
      <c r="G194" s="13">
        <f t="shared" si="32"/>
        <v>6.650415092998146</v>
      </c>
      <c r="H194" s="2">
        <f t="shared" si="26"/>
        <v>3945.1069075461114</v>
      </c>
      <c r="I194" s="13">
        <f t="shared" si="33"/>
        <v>0.16478114742457106</v>
      </c>
      <c r="J194" s="10">
        <f t="shared" si="27"/>
        <v>4.9343887061358735</v>
      </c>
    </row>
    <row r="195" spans="1:10" ht="12.75">
      <c r="A195">
        <f t="shared" si="34"/>
        <v>252</v>
      </c>
      <c r="B195" s="10">
        <f t="shared" si="35"/>
        <v>13.2375</v>
      </c>
      <c r="C195" s="13">
        <f t="shared" si="28"/>
        <v>1.004795918367347</v>
      </c>
      <c r="D195" s="13">
        <f t="shared" si="29"/>
        <v>0</v>
      </c>
      <c r="E195" s="13">
        <f t="shared" si="30"/>
        <v>5.448500445899389</v>
      </c>
      <c r="F195" s="13">
        <f t="shared" si="31"/>
        <v>6.453296364266736</v>
      </c>
      <c r="G195" s="13">
        <f t="shared" si="32"/>
        <v>6.784203635733265</v>
      </c>
      <c r="H195" s="2">
        <f t="shared" si="26"/>
        <v>3945.1069075461114</v>
      </c>
      <c r="I195" s="13">
        <f t="shared" si="33"/>
        <v>0.1615315648990649</v>
      </c>
      <c r="J195" s="10">
        <f t="shared" si="27"/>
        <v>4.772857141236809</v>
      </c>
    </row>
    <row r="196" spans="1:10" ht="12.75">
      <c r="A196">
        <f t="shared" si="34"/>
        <v>253</v>
      </c>
      <c r="B196" s="10">
        <f t="shared" si="35"/>
        <v>13.25</v>
      </c>
      <c r="C196" s="13">
        <f t="shared" si="28"/>
        <v>0.9814285714285714</v>
      </c>
      <c r="D196" s="13">
        <f t="shared" si="29"/>
        <v>0</v>
      </c>
      <c r="E196" s="13">
        <f t="shared" si="30"/>
        <v>5.349406556652168</v>
      </c>
      <c r="F196" s="13">
        <f t="shared" si="31"/>
        <v>6.330835128080739</v>
      </c>
      <c r="G196" s="13">
        <f t="shared" si="32"/>
        <v>6.919164871919261</v>
      </c>
      <c r="H196" s="2">
        <f t="shared" si="26"/>
        <v>3945.1069075461114</v>
      </c>
      <c r="I196" s="13">
        <f t="shared" si="33"/>
        <v>0.15838082343165003</v>
      </c>
      <c r="J196" s="10">
        <f t="shared" si="27"/>
        <v>4.614476317805159</v>
      </c>
    </row>
    <row r="197" spans="1:10" ht="12.75">
      <c r="A197">
        <f t="shared" si="34"/>
        <v>254</v>
      </c>
      <c r="B197" s="10">
        <f t="shared" si="35"/>
        <v>13.2625</v>
      </c>
      <c r="C197" s="13">
        <f t="shared" si="28"/>
        <v>0.9580612244897959</v>
      </c>
      <c r="D197" s="13">
        <f t="shared" si="29"/>
        <v>0</v>
      </c>
      <c r="E197" s="13">
        <f t="shared" si="30"/>
        <v>5.249130648421215</v>
      </c>
      <c r="F197" s="13">
        <f t="shared" si="31"/>
        <v>6.207191872911011</v>
      </c>
      <c r="G197" s="13">
        <f t="shared" si="32"/>
        <v>7.055308127088988</v>
      </c>
      <c r="H197" s="2">
        <f t="shared" si="26"/>
        <v>3945.1069075461114</v>
      </c>
      <c r="I197" s="13">
        <f t="shared" si="33"/>
        <v>0.15532461660552188</v>
      </c>
      <c r="J197" s="10">
        <f t="shared" si="27"/>
        <v>4.459151701199637</v>
      </c>
    </row>
    <row r="198" spans="1:10" ht="12.75">
      <c r="A198">
        <f t="shared" si="34"/>
        <v>255</v>
      </c>
      <c r="B198" s="10">
        <f t="shared" si="35"/>
        <v>13.275</v>
      </c>
      <c r="C198" s="13">
        <f t="shared" si="28"/>
        <v>0.9346938775510204</v>
      </c>
      <c r="D198" s="13">
        <f t="shared" si="29"/>
        <v>0</v>
      </c>
      <c r="E198" s="13">
        <f t="shared" si="30"/>
        <v>5.147663358740871</v>
      </c>
      <c r="F198" s="13">
        <f t="shared" si="31"/>
        <v>6.082357236291892</v>
      </c>
      <c r="G198" s="13">
        <f t="shared" si="32"/>
        <v>7.1926427637081085</v>
      </c>
      <c r="H198" s="2">
        <f t="shared" si="26"/>
        <v>3945.1069075461114</v>
      </c>
      <c r="I198" s="13">
        <f t="shared" si="33"/>
        <v>0.15235888474863676</v>
      </c>
      <c r="J198" s="10">
        <f t="shared" si="27"/>
        <v>4.306792816451001</v>
      </c>
    </row>
    <row r="199" spans="1:10" ht="12.75">
      <c r="A199">
        <f t="shared" si="34"/>
        <v>256</v>
      </c>
      <c r="B199" s="10">
        <f t="shared" si="35"/>
        <v>13.2875</v>
      </c>
      <c r="C199" s="13">
        <f t="shared" si="28"/>
        <v>0.9113265306122449</v>
      </c>
      <c r="D199" s="13">
        <f t="shared" si="29"/>
        <v>0</v>
      </c>
      <c r="E199" s="13">
        <f t="shared" si="30"/>
        <v>5.044995288212675</v>
      </c>
      <c r="F199" s="13">
        <f t="shared" si="31"/>
        <v>5.95632181882492</v>
      </c>
      <c r="G199" s="13">
        <f t="shared" si="32"/>
        <v>7.33117818117508</v>
      </c>
      <c r="H199" s="2">
        <f t="shared" si="26"/>
        <v>3945.1069075461114</v>
      </c>
      <c r="I199" s="13">
        <f t="shared" si="33"/>
        <v>0.14947979748846715</v>
      </c>
      <c r="J199" s="10">
        <f t="shared" si="27"/>
        <v>4.157313018962534</v>
      </c>
    </row>
    <row r="200" spans="1:10" ht="12.75">
      <c r="A200">
        <f t="shared" si="34"/>
        <v>257</v>
      </c>
      <c r="B200" s="10">
        <f t="shared" si="35"/>
        <v>13.3</v>
      </c>
      <c r="C200" s="13">
        <f t="shared" si="28"/>
        <v>0.8879591836734694</v>
      </c>
      <c r="D200" s="13">
        <f t="shared" si="29"/>
        <v>0</v>
      </c>
      <c r="E200" s="13">
        <f t="shared" si="30"/>
        <v>4.94111700050536</v>
      </c>
      <c r="F200" s="13">
        <f t="shared" si="31"/>
        <v>5.82907618417883</v>
      </c>
      <c r="G200" s="13">
        <f t="shared" si="32"/>
        <v>7.470923815821171</v>
      </c>
      <c r="H200" s="2">
        <f t="shared" si="26"/>
        <v>3945.1069075461114</v>
      </c>
      <c r="I200" s="13">
        <f t="shared" si="33"/>
        <v>0.14668373776656796</v>
      </c>
      <c r="J200" s="10">
        <f t="shared" si="27"/>
        <v>4.010629281195966</v>
      </c>
    </row>
    <row r="201" spans="1:10" ht="12.75">
      <c r="A201">
        <f t="shared" si="34"/>
        <v>258</v>
      </c>
      <c r="B201" s="10">
        <f t="shared" si="35"/>
        <v>13.3125</v>
      </c>
      <c r="C201" s="13">
        <f t="shared" si="28"/>
        <v>0.8645918367346939</v>
      </c>
      <c r="D201" s="13">
        <f t="shared" si="29"/>
        <v>0</v>
      </c>
      <c r="E201" s="13">
        <f t="shared" si="30"/>
        <v>4.836019022354859</v>
      </c>
      <c r="F201" s="13">
        <f t="shared" si="31"/>
        <v>5.700610859089553</v>
      </c>
      <c r="G201" s="13">
        <f t="shared" si="32"/>
        <v>7.611889140910447</v>
      </c>
      <c r="H201" s="2">
        <f t="shared" si="26"/>
        <v>3945.1069075461114</v>
      </c>
      <c r="I201" s="13">
        <f t="shared" si="33"/>
        <v>0.143967287172399</v>
      </c>
      <c r="J201" s="10">
        <f t="shared" si="27"/>
        <v>3.8666619940235667</v>
      </c>
    </row>
    <row r="202" spans="1:10" ht="12.75">
      <c r="A202">
        <f t="shared" si="34"/>
        <v>259</v>
      </c>
      <c r="B202" s="10">
        <f t="shared" si="35"/>
        <v>13.325</v>
      </c>
      <c r="C202" s="13">
        <f t="shared" si="28"/>
        <v>0.8412244897959184</v>
      </c>
      <c r="D202" s="13">
        <f t="shared" si="29"/>
        <v>0</v>
      </c>
      <c r="E202" s="13">
        <f t="shared" si="30"/>
        <v>4.729691843564298</v>
      </c>
      <c r="F202" s="13">
        <f t="shared" si="31"/>
        <v>5.570916333360216</v>
      </c>
      <c r="G202" s="13">
        <f t="shared" si="32"/>
        <v>7.754083666639783</v>
      </c>
      <c r="H202" s="2">
        <f t="shared" si="26"/>
        <v>3945.1069075461114</v>
      </c>
      <c r="I202" s="13">
        <f t="shared" si="33"/>
        <v>0.14132721247110427</v>
      </c>
      <c r="J202" s="10">
        <f t="shared" si="27"/>
        <v>3.7253347815524624</v>
      </c>
    </row>
    <row r="203" spans="1:10" ht="12.75">
      <c r="A203">
        <f t="shared" si="34"/>
        <v>260</v>
      </c>
      <c r="B203" s="10">
        <f t="shared" si="35"/>
        <v>13.3375</v>
      </c>
      <c r="C203" s="13">
        <f t="shared" si="28"/>
        <v>0.8178571428571428</v>
      </c>
      <c r="D203" s="13">
        <f t="shared" si="29"/>
        <v>0</v>
      </c>
      <c r="E203" s="13">
        <f t="shared" si="30"/>
        <v>4.622125917004004</v>
      </c>
      <c r="F203" s="13">
        <f t="shared" si="31"/>
        <v>5.439983059861147</v>
      </c>
      <c r="G203" s="13">
        <f t="shared" si="32"/>
        <v>7.897516940138853</v>
      </c>
      <c r="H203" s="2">
        <f t="shared" si="26"/>
        <v>3945.1069075461114</v>
      </c>
      <c r="I203" s="13">
        <f t="shared" si="33"/>
        <v>0.13876045321336816</v>
      </c>
      <c r="J203" s="10">
        <f t="shared" si="27"/>
        <v>3.5865743283390943</v>
      </c>
    </row>
    <row r="204" spans="1:10" ht="12.75">
      <c r="A204">
        <f t="shared" si="34"/>
        <v>261</v>
      </c>
      <c r="B204" s="10">
        <f t="shared" si="35"/>
        <v>13.35</v>
      </c>
      <c r="C204" s="13">
        <f t="shared" si="28"/>
        <v>0.7944897959183673</v>
      </c>
      <c r="D204" s="13">
        <f t="shared" si="29"/>
        <v>0</v>
      </c>
      <c r="E204" s="13">
        <f t="shared" si="30"/>
        <v>4.513311658611495</v>
      </c>
      <c r="F204" s="13">
        <f t="shared" si="31"/>
        <v>5.307801454529862</v>
      </c>
      <c r="G204" s="13">
        <f t="shared" si="32"/>
        <v>8.042198545470137</v>
      </c>
      <c r="H204" s="2">
        <f t="shared" si="26"/>
        <v>3945.1069075461114</v>
      </c>
      <c r="I204" s="13">
        <f t="shared" si="33"/>
        <v>0.13626411032729072</v>
      </c>
      <c r="J204" s="10">
        <f t="shared" si="27"/>
        <v>3.4503102180118037</v>
      </c>
    </row>
    <row r="205" spans="1:10" ht="12.75">
      <c r="A205">
        <f t="shared" si="34"/>
        <v>262</v>
      </c>
      <c r="B205" s="10">
        <f t="shared" si="35"/>
        <v>13.3625</v>
      </c>
      <c r="C205" s="13">
        <f t="shared" si="28"/>
        <v>0.7711224489795918</v>
      </c>
      <c r="D205" s="13">
        <f t="shared" si="29"/>
        <v>0</v>
      </c>
      <c r="E205" s="13">
        <f t="shared" si="30"/>
        <v>4.403239447391491</v>
      </c>
      <c r="F205" s="13">
        <f t="shared" si="31"/>
        <v>5.174361896371083</v>
      </c>
      <c r="G205" s="13">
        <f t="shared" si="32"/>
        <v>8.188138103628917</v>
      </c>
      <c r="H205" s="2">
        <f t="shared" si="26"/>
        <v>3945.1069075461114</v>
      </c>
      <c r="I205" s="13">
        <f t="shared" si="33"/>
        <v>0.13383543560266065</v>
      </c>
      <c r="J205" s="10">
        <f t="shared" si="27"/>
        <v>3.316474782409143</v>
      </c>
    </row>
    <row r="206" spans="1:10" ht="12.75">
      <c r="A206">
        <f t="shared" si="34"/>
        <v>263</v>
      </c>
      <c r="B206" s="10">
        <f t="shared" si="35"/>
        <v>13.375</v>
      </c>
      <c r="C206" s="13">
        <f t="shared" si="28"/>
        <v>0.7477551020408163</v>
      </c>
      <c r="D206" s="13">
        <f t="shared" si="29"/>
        <v>0</v>
      </c>
      <c r="E206" s="13">
        <f t="shared" si="30"/>
        <v>4.291899625415906</v>
      </c>
      <c r="F206" s="13">
        <f t="shared" si="31"/>
        <v>5.039654727456722</v>
      </c>
      <c r="G206" s="13">
        <f t="shared" si="32"/>
        <v>8.335345272543279</v>
      </c>
      <c r="H206" s="2">
        <f t="shared" si="26"/>
        <v>3945.1069075461114</v>
      </c>
      <c r="I206" s="13">
        <f t="shared" si="33"/>
        <v>0.13147182198723129</v>
      </c>
      <c r="J206" s="10">
        <f t="shared" si="27"/>
        <v>3.1850029604219117</v>
      </c>
    </row>
    <row r="207" spans="1:10" ht="12.75">
      <c r="A207">
        <f t="shared" si="34"/>
        <v>264</v>
      </c>
      <c r="B207" s="10">
        <f t="shared" si="35"/>
        <v>13.3875</v>
      </c>
      <c r="C207" s="13">
        <f t="shared" si="28"/>
        <v>0.7243877551020408</v>
      </c>
      <c r="D207" s="13">
        <f t="shared" si="29"/>
        <v>0</v>
      </c>
      <c r="E207" s="13">
        <f t="shared" si="30"/>
        <v>4.1792824978238485</v>
      </c>
      <c r="F207" s="13">
        <f t="shared" si="31"/>
        <v>4.903670252925889</v>
      </c>
      <c r="G207" s="13">
        <f t="shared" si="32"/>
        <v>8.483829747074111</v>
      </c>
      <c r="H207" s="2">
        <f t="shared" si="26"/>
        <v>3945.1069075461114</v>
      </c>
      <c r="I207" s="13">
        <f t="shared" si="33"/>
        <v>0.12917079462277745</v>
      </c>
      <c r="J207" s="10">
        <f t="shared" si="27"/>
        <v>3.055832165799134</v>
      </c>
    </row>
    <row r="208" spans="1:10" ht="12.75">
      <c r="A208">
        <f t="shared" si="34"/>
        <v>265</v>
      </c>
      <c r="B208" s="10">
        <f t="shared" si="35"/>
        <v>13.4</v>
      </c>
      <c r="C208" s="13">
        <f t="shared" si="28"/>
        <v>0.7010204081632653</v>
      </c>
      <c r="D208" s="13">
        <f t="shared" si="29"/>
        <v>0</v>
      </c>
      <c r="E208" s="13">
        <f t="shared" si="30"/>
        <v>4.06537833282163</v>
      </c>
      <c r="F208" s="13">
        <f t="shared" si="31"/>
        <v>4.766398740984895</v>
      </c>
      <c r="G208" s="13">
        <f t="shared" si="32"/>
        <v>8.633601259015105</v>
      </c>
      <c r="H208" s="2">
        <f t="shared" si="26"/>
        <v>3945.1069075461114</v>
      </c>
      <c r="I208" s="13">
        <f t="shared" si="33"/>
        <v>0.12693000255595918</v>
      </c>
      <c r="J208" s="10">
        <f t="shared" si="27"/>
        <v>2.928902163243175</v>
      </c>
    </row>
    <row r="209" spans="1:10" ht="12.75">
      <c r="A209">
        <f t="shared" si="34"/>
        <v>266</v>
      </c>
      <c r="B209" s="10">
        <f t="shared" si="35"/>
        <v>13.4125</v>
      </c>
      <c r="C209" s="13">
        <f t="shared" si="28"/>
        <v>0.6776530612244898</v>
      </c>
      <c r="D209" s="13">
        <f t="shared" si="29"/>
        <v>0</v>
      </c>
      <c r="E209" s="13">
        <f t="shared" si="30"/>
        <v>3.9501773616827514</v>
      </c>
      <c r="F209" s="13">
        <f t="shared" si="31"/>
        <v>4.627830422907241</v>
      </c>
      <c r="G209" s="13">
        <f t="shared" si="32"/>
        <v>8.784669577092759</v>
      </c>
      <c r="H209" s="2">
        <f t="shared" si="26"/>
        <v>3945.1069075461114</v>
      </c>
      <c r="I209" s="13">
        <f t="shared" si="33"/>
        <v>0.12474721106546048</v>
      </c>
      <c r="J209" s="10">
        <f t="shared" si="27"/>
        <v>2.8041549521777145</v>
      </c>
    </row>
    <row r="210" spans="1:10" ht="12.75">
      <c r="A210">
        <f t="shared" si="34"/>
        <v>267</v>
      </c>
      <c r="B210" s="10">
        <f t="shared" si="35"/>
        <v>13.425</v>
      </c>
      <c r="C210" s="13">
        <f t="shared" si="28"/>
        <v>0.6542857142857142</v>
      </c>
      <c r="D210" s="13">
        <f t="shared" si="29"/>
        <v>0</v>
      </c>
      <c r="E210" s="13">
        <f t="shared" si="30"/>
        <v>3.833669778747915</v>
      </c>
      <c r="F210" s="13">
        <f t="shared" si="31"/>
        <v>4.487955493033629</v>
      </c>
      <c r="G210" s="13">
        <f t="shared" si="32"/>
        <v>8.937044506966371</v>
      </c>
      <c r="H210" s="2">
        <f t="shared" si="26"/>
        <v>3945.1069075461114</v>
      </c>
      <c r="I210" s="13">
        <f t="shared" si="33"/>
        <v>0.12262029455260084</v>
      </c>
      <c r="J210" s="10">
        <f t="shared" si="27"/>
        <v>2.6815346576251136</v>
      </c>
    </row>
    <row r="211" spans="1:10" ht="12.75">
      <c r="A211">
        <f t="shared" si="34"/>
        <v>268</v>
      </c>
      <c r="B211" s="10">
        <f t="shared" si="35"/>
        <v>13.4375</v>
      </c>
      <c r="C211" s="13">
        <f t="shared" si="28"/>
        <v>0.6309183673469387</v>
      </c>
      <c r="D211" s="13">
        <f t="shared" si="29"/>
        <v>0</v>
      </c>
      <c r="E211" s="13">
        <f t="shared" si="30"/>
        <v>3.715845741425018</v>
      </c>
      <c r="F211" s="13">
        <f t="shared" si="31"/>
        <v>4.346764108771957</v>
      </c>
      <c r="G211" s="13">
        <f t="shared" si="32"/>
        <v>9.090735891228043</v>
      </c>
      <c r="H211" s="2">
        <f t="shared" si="26"/>
        <v>3945.1069075461114</v>
      </c>
      <c r="I211" s="13">
        <f t="shared" si="33"/>
        <v>0.12054722994772678</v>
      </c>
      <c r="J211" s="10">
        <f t="shared" si="27"/>
        <v>2.5609874276773867</v>
      </c>
    </row>
    <row r="212" spans="1:10" ht="12.75">
      <c r="A212">
        <f t="shared" si="34"/>
        <v>269</v>
      </c>
      <c r="B212" s="10">
        <f t="shared" si="35"/>
        <v>13.45</v>
      </c>
      <c r="C212" s="13">
        <f t="shared" si="28"/>
        <v>0.6075510204081632</v>
      </c>
      <c r="D212" s="13">
        <f t="shared" si="29"/>
        <v>0</v>
      </c>
      <c r="E212" s="13">
        <f t="shared" si="30"/>
        <v>3.5966953701891544</v>
      </c>
      <c r="F212" s="13">
        <f t="shared" si="31"/>
        <v>4.2042463905973175</v>
      </c>
      <c r="G212" s="13">
        <f t="shared" si="32"/>
        <v>9.245753609402682</v>
      </c>
      <c r="H212" s="2">
        <f t="shared" si="26"/>
        <v>3945.1069075461114</v>
      </c>
      <c r="I212" s="13">
        <f t="shared" si="33"/>
        <v>0.11852609058924703</v>
      </c>
      <c r="J212" s="10">
        <f t="shared" si="27"/>
        <v>2.44246133708814</v>
      </c>
    </row>
    <row r="213" spans="1:10" ht="12.75">
      <c r="A213">
        <f t="shared" si="34"/>
        <v>270</v>
      </c>
      <c r="B213" s="10">
        <f t="shared" si="35"/>
        <v>13.4625</v>
      </c>
      <c r="C213" s="13">
        <f t="shared" si="28"/>
        <v>0.5841836734693877</v>
      </c>
      <c r="D213" s="13">
        <f t="shared" si="29"/>
        <v>0</v>
      </c>
      <c r="E213" s="13">
        <f t="shared" si="30"/>
        <v>3.4762087485826143</v>
      </c>
      <c r="F213" s="13">
        <f t="shared" si="31"/>
        <v>4.0603924220520025</v>
      </c>
      <c r="G213" s="13">
        <f t="shared" si="32"/>
        <v>9.402107577947998</v>
      </c>
      <c r="H213" s="2">
        <f t="shared" si="26"/>
        <v>3945.1069075461114</v>
      </c>
      <c r="I213" s="13">
        <f t="shared" si="33"/>
        <v>0.11655504053625082</v>
      </c>
      <c r="J213" s="10">
        <f t="shared" si="27"/>
        <v>2.325906296551889</v>
      </c>
    </row>
    <row r="214" spans="1:10" ht="12.75">
      <c r="A214">
        <f t="shared" si="34"/>
        <v>271</v>
      </c>
      <c r="B214" s="10">
        <f t="shared" si="35"/>
        <v>13.475</v>
      </c>
      <c r="C214" s="13">
        <f t="shared" si="28"/>
        <v>0.5608163265306122</v>
      </c>
      <c r="D214" s="13">
        <f t="shared" si="29"/>
        <v>0</v>
      </c>
      <c r="E214" s="13">
        <f t="shared" si="30"/>
        <v>3.354375923214885</v>
      </c>
      <c r="F214" s="13">
        <f t="shared" si="31"/>
        <v>3.9151922497454974</v>
      </c>
      <c r="G214" s="13">
        <f t="shared" si="32"/>
        <v>9.559807750254503</v>
      </c>
      <c r="H214" s="2">
        <f t="shared" si="26"/>
        <v>3945.1069075461114</v>
      </c>
      <c r="I214" s="13">
        <f t="shared" si="33"/>
        <v>0.11463232927929387</v>
      </c>
      <c r="J214" s="10">
        <f t="shared" si="27"/>
        <v>2.211273967272595</v>
      </c>
    </row>
    <row r="215" spans="1:10" ht="12.75">
      <c r="A215">
        <f t="shared" si="34"/>
        <v>272</v>
      </c>
      <c r="B215" s="10">
        <f t="shared" si="35"/>
        <v>13.4875</v>
      </c>
      <c r="C215" s="13">
        <f t="shared" si="28"/>
        <v>0.5374489795918367</v>
      </c>
      <c r="D215" s="13">
        <f t="shared" si="29"/>
        <v>0</v>
      </c>
      <c r="E215" s="13">
        <f t="shared" si="30"/>
        <v>3.231186903762651</v>
      </c>
      <c r="F215" s="13">
        <f t="shared" si="31"/>
        <v>3.768635883354488</v>
      </c>
      <c r="G215" s="13">
        <f t="shared" si="32"/>
        <v>9.718864116645513</v>
      </c>
      <c r="H215" s="2">
        <f t="shared" si="26"/>
        <v>3945.1069075461114</v>
      </c>
      <c r="I215" s="13">
        <f t="shared" si="33"/>
        <v>0.11275628681720466</v>
      </c>
      <c r="J215" s="10">
        <f t="shared" si="27"/>
        <v>2.0985176804553904</v>
      </c>
    </row>
    <row r="216" spans="1:10" ht="12.75">
      <c r="A216" s="14">
        <f t="shared" si="34"/>
        <v>273</v>
      </c>
      <c r="B216" s="14">
        <v>13.5</v>
      </c>
      <c r="C216" s="13">
        <f t="shared" si="28"/>
        <v>0.5140816326530612</v>
      </c>
      <c r="D216" s="13">
        <f t="shared" si="29"/>
        <v>0</v>
      </c>
      <c r="E216" s="13">
        <f t="shared" si="30"/>
        <v>3.106631662969792</v>
      </c>
      <c r="F216" s="13">
        <f t="shared" si="31"/>
        <v>3.620713295622853</v>
      </c>
      <c r="G216" s="13">
        <f t="shared" si="32"/>
        <v>9.879286704377147</v>
      </c>
      <c r="H216" s="2">
        <f t="shared" si="26"/>
        <v>3945.1069075461114</v>
      </c>
      <c r="I216" s="13">
        <f t="shared" si="33"/>
        <v>0.11092531907069601</v>
      </c>
      <c r="J216" s="10">
        <f t="shared" si="27"/>
        <v>1.9875923613846944</v>
      </c>
    </row>
    <row r="217" spans="1:10" ht="12.75">
      <c r="A217">
        <f t="shared" si="34"/>
        <v>274</v>
      </c>
      <c r="B217" s="10">
        <f>(A217-A$216)/(A$236-A$216)*(B$236-B$216)+B$216</f>
        <v>13.55</v>
      </c>
      <c r="C217" s="13">
        <f t="shared" si="28"/>
        <v>0.4907142857142857</v>
      </c>
      <c r="D217" s="13">
        <f t="shared" si="29"/>
        <v>0</v>
      </c>
      <c r="E217" s="13">
        <f t="shared" si="30"/>
        <v>2.9807001366473855</v>
      </c>
      <c r="F217" s="13">
        <f t="shared" si="31"/>
        <v>3.471414422361671</v>
      </c>
      <c r="G217" s="13">
        <f t="shared" si="32"/>
        <v>10.078585577638329</v>
      </c>
      <c r="H217" s="2">
        <f t="shared" si="26"/>
        <v>3945.1069075461114</v>
      </c>
      <c r="I217" s="13">
        <f t="shared" si="33"/>
        <v>0.10873182763912281</v>
      </c>
      <c r="J217" s="10">
        <f t="shared" si="27"/>
        <v>1.8788605337455715</v>
      </c>
    </row>
    <row r="218" spans="1:10" ht="12.75">
      <c r="A218">
        <f t="shared" si="34"/>
        <v>275</v>
      </c>
      <c r="B218" s="10">
        <f aca="true" t="shared" si="36" ref="B218:B235">(A218-A$216)/(A$236-A$216)*(B$236-B$216)+B$216</f>
        <v>13.6</v>
      </c>
      <c r="C218" s="13">
        <f t="shared" si="28"/>
        <v>0.4673469387755102</v>
      </c>
      <c r="D218" s="13">
        <f t="shared" si="29"/>
        <v>0</v>
      </c>
      <c r="E218" s="13">
        <f t="shared" si="30"/>
        <v>2.853382223673705</v>
      </c>
      <c r="F218" s="13">
        <f t="shared" si="31"/>
        <v>3.3207291624492155</v>
      </c>
      <c r="G218" s="13">
        <f t="shared" si="32"/>
        <v>10.279270837550785</v>
      </c>
      <c r="H218" s="2">
        <f t="shared" si="26"/>
        <v>3945.1069075461114</v>
      </c>
      <c r="I218" s="13">
        <f t="shared" si="33"/>
        <v>0.10660902384930528</v>
      </c>
      <c r="J218" s="10">
        <f t="shared" si="27"/>
        <v>1.7722515098962661</v>
      </c>
    </row>
    <row r="219" spans="1:10" ht="12.75">
      <c r="A219">
        <f t="shared" si="34"/>
        <v>276</v>
      </c>
      <c r="B219" s="10">
        <f t="shared" si="36"/>
        <v>13.65</v>
      </c>
      <c r="C219" s="13">
        <f t="shared" si="28"/>
        <v>0.4439795918367347</v>
      </c>
      <c r="D219" s="13">
        <f t="shared" si="29"/>
        <v>0</v>
      </c>
      <c r="E219" s="13">
        <f t="shared" si="30"/>
        <v>2.7246677859942205</v>
      </c>
      <c r="F219" s="13">
        <f t="shared" si="31"/>
        <v>3.1686473778309554</v>
      </c>
      <c r="G219" s="13">
        <f t="shared" si="32"/>
        <v>10.481352622169045</v>
      </c>
      <c r="H219" s="2">
        <f t="shared" si="26"/>
        <v>3945.1069075461114</v>
      </c>
      <c r="I219" s="13">
        <f t="shared" si="33"/>
        <v>0.10455358858512848</v>
      </c>
      <c r="J219" s="10">
        <f t="shared" si="27"/>
        <v>1.6676979213111376</v>
      </c>
    </row>
    <row r="220" spans="1:10" ht="12.75">
      <c r="A220">
        <f t="shared" si="34"/>
        <v>277</v>
      </c>
      <c r="B220" s="10">
        <f t="shared" si="36"/>
        <v>13.7</v>
      </c>
      <c r="C220" s="13">
        <f t="shared" si="28"/>
        <v>0.4206122448979592</v>
      </c>
      <c r="D220" s="13">
        <f t="shared" si="29"/>
        <v>0</v>
      </c>
      <c r="E220" s="13">
        <f t="shared" si="30"/>
        <v>2.5945466486216</v>
      </c>
      <c r="F220" s="13">
        <f t="shared" si="31"/>
        <v>3.015158893519559</v>
      </c>
      <c r="G220" s="13">
        <f t="shared" si="32"/>
        <v>10.684841106480441</v>
      </c>
      <c r="H220" s="2">
        <f t="shared" si="26"/>
        <v>3945.1069075461114</v>
      </c>
      <c r="I220" s="13">
        <f t="shared" si="33"/>
        <v>0.10256240770948576</v>
      </c>
      <c r="J220" s="10">
        <f t="shared" si="27"/>
        <v>1.5651355136016518</v>
      </c>
    </row>
    <row r="221" spans="1:10" ht="12.75">
      <c r="A221">
        <f t="shared" si="34"/>
        <v>278</v>
      </c>
      <c r="B221" s="10">
        <f t="shared" si="36"/>
        <v>13.75</v>
      </c>
      <c r="C221" s="13">
        <f t="shared" si="28"/>
        <v>0.39724489795918366</v>
      </c>
      <c r="D221" s="13">
        <f t="shared" si="29"/>
        <v>0</v>
      </c>
      <c r="E221" s="13">
        <f t="shared" si="30"/>
        <v>2.463008599635705</v>
      </c>
      <c r="F221" s="13">
        <f t="shared" si="31"/>
        <v>2.8602534975948886</v>
      </c>
      <c r="G221" s="13">
        <f t="shared" si="32"/>
        <v>10.889746502405112</v>
      </c>
      <c r="H221" s="2">
        <f t="shared" si="26"/>
        <v>3945.1069075461114</v>
      </c>
      <c r="I221" s="13">
        <f t="shared" si="33"/>
        <v>0.10063255647244748</v>
      </c>
      <c r="J221" s="10">
        <f t="shared" si="27"/>
        <v>1.4645029571292043</v>
      </c>
    </row>
    <row r="222" spans="1:10" ht="12.75">
      <c r="A222">
        <f t="shared" si="34"/>
        <v>279</v>
      </c>
      <c r="B222" s="10">
        <f t="shared" si="36"/>
        <v>13.8</v>
      </c>
      <c r="C222" s="13">
        <f t="shared" si="28"/>
        <v>0.37387755102040815</v>
      </c>
      <c r="D222" s="13">
        <f t="shared" si="29"/>
        <v>0</v>
      </c>
      <c r="E222" s="13">
        <f t="shared" si="30"/>
        <v>2.3300433901835973</v>
      </c>
      <c r="F222" s="13">
        <f t="shared" si="31"/>
        <v>2.7039209412040055</v>
      </c>
      <c r="G222" s="13">
        <f t="shared" si="32"/>
        <v>11.096079058795995</v>
      </c>
      <c r="H222" s="2">
        <f t="shared" si="26"/>
        <v>3945.1069075461114</v>
      </c>
      <c r="I222" s="13">
        <f t="shared" si="33"/>
        <v>0.09876128532134204</v>
      </c>
      <c r="J222" s="10">
        <f t="shared" si="27"/>
        <v>1.3657416718078623</v>
      </c>
    </row>
    <row r="223" spans="1:10" ht="12.75">
      <c r="A223">
        <f t="shared" si="34"/>
        <v>280</v>
      </c>
      <c r="B223" s="10">
        <f t="shared" si="36"/>
        <v>13.85</v>
      </c>
      <c r="C223" s="13">
        <f t="shared" si="28"/>
        <v>0.35051020408163264</v>
      </c>
      <c r="D223" s="13">
        <f t="shared" si="29"/>
        <v>0</v>
      </c>
      <c r="E223" s="13">
        <f t="shared" si="30"/>
        <v>2.1956407344795332</v>
      </c>
      <c r="F223" s="13">
        <f t="shared" si="31"/>
        <v>2.546150938561166</v>
      </c>
      <c r="G223" s="13">
        <f t="shared" si="32"/>
        <v>11.303849061438834</v>
      </c>
      <c r="H223" s="2">
        <f t="shared" si="26"/>
        <v>3945.1069075461114</v>
      </c>
      <c r="I223" s="13">
        <f t="shared" si="33"/>
        <v>0.09694600696786292</v>
      </c>
      <c r="J223" s="10">
        <f t="shared" si="27"/>
        <v>1.2687956648399994</v>
      </c>
    </row>
    <row r="224" spans="1:10" ht="12.75">
      <c r="A224">
        <f t="shared" si="34"/>
        <v>281</v>
      </c>
      <c r="B224" s="10">
        <f t="shared" si="36"/>
        <v>13.9</v>
      </c>
      <c r="C224" s="13">
        <f t="shared" si="28"/>
        <v>0.3271428571428571</v>
      </c>
      <c r="D224" s="13">
        <f t="shared" si="29"/>
        <v>0</v>
      </c>
      <c r="E224" s="13">
        <f t="shared" si="30"/>
        <v>2.059790309804966</v>
      </c>
      <c r="F224" s="13">
        <f t="shared" si="31"/>
        <v>2.386933166947823</v>
      </c>
      <c r="G224" s="13">
        <f t="shared" si="32"/>
        <v>11.513066833052177</v>
      </c>
      <c r="H224" s="2">
        <f t="shared" si="26"/>
        <v>3945.1069075461114</v>
      </c>
      <c r="I224" s="13">
        <f t="shared" si="33"/>
        <v>0.09518428458417978</v>
      </c>
      <c r="J224" s="10">
        <f t="shared" si="27"/>
        <v>1.1736113802558197</v>
      </c>
    </row>
    <row r="225" spans="1:10" ht="12.75">
      <c r="A225">
        <f t="shared" si="34"/>
        <v>282</v>
      </c>
      <c r="B225" s="10">
        <f t="shared" si="36"/>
        <v>13.95</v>
      </c>
      <c r="C225" s="13">
        <f t="shared" si="28"/>
        <v>0.3037755102040816</v>
      </c>
      <c r="D225" s="13">
        <f t="shared" si="29"/>
        <v>0</v>
      </c>
      <c r="E225" s="13">
        <f t="shared" si="30"/>
        <v>1.9224817565085452</v>
      </c>
      <c r="F225" s="13">
        <f t="shared" si="31"/>
        <v>2.226257266712627</v>
      </c>
      <c r="G225" s="13">
        <f t="shared" si="32"/>
        <v>11.723742733287372</v>
      </c>
      <c r="H225" s="2">
        <f t="shared" si="26"/>
        <v>3945.1069075461114</v>
      </c>
      <c r="I225" s="13">
        <f t="shared" si="33"/>
        <v>0.0934738210147193</v>
      </c>
      <c r="J225" s="10">
        <f t="shared" si="27"/>
        <v>1.0801375592411004</v>
      </c>
    </row>
    <row r="226" spans="1:10" ht="12.75">
      <c r="A226">
        <f t="shared" si="34"/>
        <v>283</v>
      </c>
      <c r="B226" s="10">
        <f t="shared" si="36"/>
        <v>14</v>
      </c>
      <c r="C226" s="13">
        <f t="shared" si="28"/>
        <v>0.2804081632653061</v>
      </c>
      <c r="D226" s="13">
        <f t="shared" si="29"/>
        <v>0</v>
      </c>
      <c r="E226" s="13">
        <f t="shared" si="30"/>
        <v>1.783704678006118</v>
      </c>
      <c r="F226" s="13">
        <f t="shared" si="31"/>
        <v>2.0641128412714242</v>
      </c>
      <c r="G226" s="13">
        <f t="shared" si="32"/>
        <v>11.935887158728576</v>
      </c>
      <c r="H226" s="2">
        <f t="shared" si="26"/>
        <v>3945.1069075461114</v>
      </c>
      <c r="I226" s="13">
        <f t="shared" si="33"/>
        <v>0.09181244890309874</v>
      </c>
      <c r="J226" s="10">
        <f t="shared" si="27"/>
        <v>0.9883251103380016</v>
      </c>
    </row>
    <row r="227" spans="1:10" ht="12.75">
      <c r="A227">
        <f t="shared" si="34"/>
        <v>284</v>
      </c>
      <c r="B227" s="10">
        <f t="shared" si="36"/>
        <v>14.05</v>
      </c>
      <c r="C227" s="13">
        <f t="shared" si="28"/>
        <v>0.2570408163265306</v>
      </c>
      <c r="D227" s="13">
        <f t="shared" si="29"/>
        <v>0</v>
      </c>
      <c r="E227" s="13">
        <f t="shared" si="30"/>
        <v>1.6434486407807274</v>
      </c>
      <c r="F227" s="13">
        <f t="shared" si="31"/>
        <v>1.900489457107258</v>
      </c>
      <c r="G227" s="13">
        <f t="shared" si="32"/>
        <v>12.149510542892743</v>
      </c>
      <c r="H227" s="2">
        <f t="shared" si="26"/>
        <v>3945.1069075461114</v>
      </c>
      <c r="I227" s="13">
        <f t="shared" si="33"/>
        <v>0.09019812164490701</v>
      </c>
      <c r="J227" s="10">
        <f t="shared" si="27"/>
        <v>0.8981269886930946</v>
      </c>
    </row>
    <row r="228" spans="1:10" ht="12.75">
      <c r="A228">
        <f t="shared" si="34"/>
        <v>285</v>
      </c>
      <c r="B228" s="10">
        <f t="shared" si="36"/>
        <v>14.1</v>
      </c>
      <c r="C228" s="13">
        <f t="shared" si="28"/>
        <v>0.2336734693877551</v>
      </c>
      <c r="D228" s="13">
        <f t="shared" si="29"/>
        <v>0</v>
      </c>
      <c r="E228" s="13">
        <f t="shared" si="30"/>
        <v>1.501703174382613</v>
      </c>
      <c r="F228" s="13">
        <f t="shared" si="31"/>
        <v>1.7353766437703682</v>
      </c>
      <c r="G228" s="13">
        <f t="shared" si="32"/>
        <v>12.364623356229632</v>
      </c>
      <c r="H228" s="2">
        <f t="shared" si="26"/>
        <v>3945.1069075461114</v>
      </c>
      <c r="I228" s="13">
        <f t="shared" si="33"/>
        <v>0.0886289050868496</v>
      </c>
      <c r="J228" s="10">
        <f t="shared" si="27"/>
        <v>0.809498083606245</v>
      </c>
    </row>
    <row r="229" spans="1:10" ht="12.75">
      <c r="A229">
        <f t="shared" si="34"/>
        <v>286</v>
      </c>
      <c r="B229" s="10">
        <f t="shared" si="36"/>
        <v>14.15</v>
      </c>
      <c r="C229" s="13">
        <f t="shared" si="28"/>
        <v>0.2103061224489796</v>
      </c>
      <c r="D229" s="13">
        <f t="shared" si="29"/>
        <v>0</v>
      </c>
      <c r="E229" s="13">
        <f t="shared" si="30"/>
        <v>1.3584577714292114</v>
      </c>
      <c r="F229" s="13">
        <f t="shared" si="31"/>
        <v>1.568763893878191</v>
      </c>
      <c r="G229" s="13">
        <f t="shared" si="32"/>
        <v>12.581236106121809</v>
      </c>
      <c r="H229" s="2">
        <f t="shared" si="26"/>
        <v>3945.1069075461114</v>
      </c>
      <c r="I229" s="13">
        <f t="shared" si="33"/>
        <v>0.0871029699013988</v>
      </c>
      <c r="J229" s="10">
        <f t="shared" si="27"/>
        <v>0.7223951137048462</v>
      </c>
    </row>
    <row r="230" spans="1:10" ht="12.75">
      <c r="A230">
        <f t="shared" si="34"/>
        <v>287</v>
      </c>
      <c r="B230" s="10">
        <f t="shared" si="36"/>
        <v>14.2</v>
      </c>
      <c r="C230" s="13">
        <f t="shared" si="28"/>
        <v>0.18693877551020407</v>
      </c>
      <c r="D230" s="13">
        <f t="shared" si="29"/>
        <v>0</v>
      </c>
      <c r="E230" s="13">
        <f t="shared" si="30"/>
        <v>1.2137018876051555</v>
      </c>
      <c r="F230" s="13">
        <f t="shared" si="31"/>
        <v>1.4006406631153596</v>
      </c>
      <c r="G230" s="13">
        <f t="shared" si="32"/>
        <v>12.79935933688464</v>
      </c>
      <c r="H230" s="2">
        <f t="shared" si="26"/>
        <v>3945.1069075461114</v>
      </c>
      <c r="I230" s="13">
        <f t="shared" si="33"/>
        <v>0.08561858457367542</v>
      </c>
      <c r="J230" s="10">
        <f t="shared" si="27"/>
        <v>0.6367765291311708</v>
      </c>
    </row>
    <row r="231" spans="1:10" ht="12.75">
      <c r="A231">
        <f t="shared" si="34"/>
        <v>288</v>
      </c>
      <c r="B231" s="10">
        <f t="shared" si="36"/>
        <v>14.25</v>
      </c>
      <c r="C231" s="13">
        <f t="shared" si="28"/>
        <v>0.16357142857142856</v>
      </c>
      <c r="D231" s="13">
        <f t="shared" si="29"/>
        <v>0</v>
      </c>
      <c r="E231" s="13">
        <f t="shared" si="30"/>
        <v>1.0674249416622752</v>
      </c>
      <c r="F231" s="13">
        <f t="shared" si="31"/>
        <v>1.2309963702337037</v>
      </c>
      <c r="G231" s="13">
        <f t="shared" si="32"/>
        <v>13.019003629766296</v>
      </c>
      <c r="H231" s="2">
        <f t="shared" si="26"/>
        <v>3945.1069075461114</v>
      </c>
      <c r="I231" s="13">
        <f t="shared" si="33"/>
        <v>0.08417410894397237</v>
      </c>
      <c r="J231" s="10">
        <f t="shared" si="27"/>
        <v>0.5526024201871984</v>
      </c>
    </row>
    <row r="232" spans="1:10" ht="12.75">
      <c r="A232">
        <f t="shared" si="34"/>
        <v>289</v>
      </c>
      <c r="B232" s="10">
        <f t="shared" si="36"/>
        <v>14.3</v>
      </c>
      <c r="C232" s="13">
        <f t="shared" si="28"/>
        <v>0.14020408163265305</v>
      </c>
      <c r="D232" s="13">
        <f t="shared" si="29"/>
        <v>0</v>
      </c>
      <c r="E232" s="13">
        <f t="shared" si="30"/>
        <v>0.9196163154195962</v>
      </c>
      <c r="F232" s="13">
        <f t="shared" si="31"/>
        <v>1.0598203970522493</v>
      </c>
      <c r="G232" s="13">
        <f t="shared" si="32"/>
        <v>13.240179602947752</v>
      </c>
      <c r="H232" s="2">
        <f t="shared" si="26"/>
        <v>3945.1069075461114</v>
      </c>
      <c r="I232" s="13">
        <f t="shared" si="33"/>
        <v>0.08276798825523034</v>
      </c>
      <c r="J232" s="10">
        <f t="shared" si="27"/>
        <v>0.46983443193196806</v>
      </c>
    </row>
    <row r="233" spans="1:10" ht="12.75">
      <c r="A233">
        <f t="shared" si="34"/>
        <v>290</v>
      </c>
      <c r="B233" s="10">
        <f t="shared" si="36"/>
        <v>14.35</v>
      </c>
      <c r="C233" s="13">
        <f t="shared" si="28"/>
        <v>0.11683673469387755</v>
      </c>
      <c r="D233" s="13">
        <f t="shared" si="29"/>
        <v>0</v>
      </c>
      <c r="E233" s="13">
        <f t="shared" si="30"/>
        <v>0.7702653537633418</v>
      </c>
      <c r="F233" s="13">
        <f t="shared" si="31"/>
        <v>0.8871020884572194</v>
      </c>
      <c r="G233" s="13">
        <f t="shared" si="32"/>
        <v>13.46289791154278</v>
      </c>
      <c r="H233" s="2">
        <f t="shared" si="26"/>
        <v>3945.1069075461114</v>
      </c>
      <c r="I233" s="13">
        <f t="shared" si="33"/>
        <v>0.08139874765999316</v>
      </c>
      <c r="J233" s="10">
        <f t="shared" si="27"/>
        <v>0.3884356842719749</v>
      </c>
    </row>
    <row r="234" spans="1:10" ht="12.75">
      <c r="A234">
        <f t="shared" si="34"/>
        <v>291</v>
      </c>
      <c r="B234" s="10">
        <f t="shared" si="36"/>
        <v>14.4</v>
      </c>
      <c r="C234" s="13">
        <f t="shared" si="28"/>
        <v>0.09346938775510204</v>
      </c>
      <c r="D234" s="13">
        <f t="shared" si="29"/>
        <v>0</v>
      </c>
      <c r="E234" s="13">
        <f t="shared" si="30"/>
        <v>0.6193613646469314</v>
      </c>
      <c r="F234" s="13">
        <f t="shared" si="31"/>
        <v>0.7128307524020334</v>
      </c>
      <c r="G234" s="13">
        <f t="shared" si="32"/>
        <v>13.687169247597968</v>
      </c>
      <c r="H234" s="2">
        <f t="shared" si="26"/>
        <v>3945.1069075461114</v>
      </c>
      <c r="I234" s="13">
        <f t="shared" si="33"/>
        <v>0.08006498714598992</v>
      </c>
      <c r="J234" s="10">
        <f t="shared" si="27"/>
        <v>0.30837069712598497</v>
      </c>
    </row>
    <row r="235" spans="1:10" ht="12.75">
      <c r="A235">
        <f t="shared" si="34"/>
        <v>292</v>
      </c>
      <c r="B235" s="10">
        <f t="shared" si="36"/>
        <v>14.45</v>
      </c>
      <c r="C235" s="13">
        <f t="shared" si="28"/>
        <v>0.07010204081632652</v>
      </c>
      <c r="D235" s="13">
        <f t="shared" si="29"/>
        <v>0</v>
      </c>
      <c r="E235" s="13">
        <f t="shared" si="30"/>
        <v>0.466893619090981</v>
      </c>
      <c r="F235" s="13">
        <f t="shared" si="31"/>
        <v>0.5369956599073075</v>
      </c>
      <c r="G235" s="13">
        <f t="shared" si="32"/>
        <v>13.913004340092693</v>
      </c>
      <c r="H235" s="2">
        <f t="shared" si="26"/>
        <v>3945.1069075461114</v>
      </c>
      <c r="I235" s="13">
        <f t="shared" si="33"/>
        <v>0.07876537684359114</v>
      </c>
      <c r="J235" s="10">
        <f t="shared" si="27"/>
        <v>0.22960532028239383</v>
      </c>
    </row>
    <row r="236" spans="1:10" ht="12.75">
      <c r="A236" s="14">
        <f t="shared" si="34"/>
        <v>293</v>
      </c>
      <c r="B236" s="14">
        <v>14.5</v>
      </c>
      <c r="C236" s="13">
        <f t="shared" si="28"/>
        <v>0.04673469387755102</v>
      </c>
      <c r="D236" s="13">
        <f t="shared" si="29"/>
        <v>0</v>
      </c>
      <c r="E236" s="13">
        <f t="shared" si="30"/>
        <v>0.3128513511833033</v>
      </c>
      <c r="F236" s="13">
        <f t="shared" si="31"/>
        <v>0.35958604506085434</v>
      </c>
      <c r="G236" s="13">
        <f t="shared" si="32"/>
        <v>14.140413954939145</v>
      </c>
      <c r="H236" s="2">
        <f t="shared" si="26"/>
        <v>3945.1069075461114</v>
      </c>
      <c r="I236" s="13">
        <f t="shared" si="33"/>
        <v>0.07749865268202723</v>
      </c>
      <c r="J236" s="10">
        <f t="shared" si="27"/>
        <v>0.15210666760036662</v>
      </c>
    </row>
    <row r="237" spans="1:10" ht="12.75">
      <c r="A237">
        <f t="shared" si="34"/>
        <v>294</v>
      </c>
      <c r="B237" s="10">
        <f>B236</f>
        <v>14.5</v>
      </c>
      <c r="C237" s="13">
        <f t="shared" si="28"/>
        <v>0.02336734693877551</v>
      </c>
      <c r="D237" s="13">
        <f t="shared" si="29"/>
        <v>0</v>
      </c>
      <c r="E237" s="13">
        <f t="shared" si="30"/>
        <v>0.15722375807890768</v>
      </c>
      <c r="F237" s="13">
        <f t="shared" si="31"/>
        <v>0.1805911050176832</v>
      </c>
      <c r="G237" s="13">
        <f t="shared" si="32"/>
        <v>14.319408894982317</v>
      </c>
      <c r="H237" s="2">
        <f t="shared" si="26"/>
        <v>3945.1069075461114</v>
      </c>
      <c r="I237" s="13">
        <f t="shared" si="33"/>
        <v>0.07652990691940662</v>
      </c>
      <c r="J237" s="10">
        <f>J238+I238</f>
        <v>0.07557676068095999</v>
      </c>
    </row>
    <row r="238" spans="1:10" ht="12.75">
      <c r="A238">
        <f t="shared" si="34"/>
        <v>295</v>
      </c>
      <c r="B238" s="10">
        <f aca="true" t="shared" si="37" ref="B238:B243">B237</f>
        <v>14.5</v>
      </c>
      <c r="C238" s="13">
        <f t="shared" si="28"/>
        <v>0</v>
      </c>
      <c r="D238" s="13">
        <f t="shared" si="29"/>
        <v>0</v>
      </c>
      <c r="E238" s="13">
        <f t="shared" si="30"/>
        <v>0</v>
      </c>
      <c r="F238" s="13">
        <f t="shared" si="31"/>
        <v>0</v>
      </c>
      <c r="G238" s="13">
        <f t="shared" si="32"/>
        <v>14.5</v>
      </c>
      <c r="H238" s="2">
        <f t="shared" si="26"/>
        <v>3945.1069075461114</v>
      </c>
      <c r="I238" s="13">
        <f t="shared" si="33"/>
        <v>0.07557676068095999</v>
      </c>
      <c r="J238" s="10">
        <v>0</v>
      </c>
    </row>
    <row r="239" spans="1:10" ht="12.75">
      <c r="A239">
        <f t="shared" si="34"/>
        <v>296</v>
      </c>
      <c r="B239" s="10">
        <f t="shared" si="37"/>
        <v>14.5</v>
      </c>
      <c r="C239" s="13">
        <f t="shared" si="28"/>
        <v>-0.02336734693877551</v>
      </c>
      <c r="D239" s="13">
        <f t="shared" si="29"/>
        <v>0</v>
      </c>
      <c r="E239" s="13">
        <f t="shared" si="30"/>
        <v>-0.15883079976401718</v>
      </c>
      <c r="F239" s="13">
        <f t="shared" si="31"/>
        <v>-0.1821981467027927</v>
      </c>
      <c r="G239" s="13">
        <f t="shared" si="32"/>
        <v>14.682198146702794</v>
      </c>
      <c r="H239" s="2">
        <f t="shared" si="26"/>
        <v>3945.1069075461114</v>
      </c>
      <c r="I239" s="13">
        <f t="shared" si="33"/>
        <v>0.07463889391249086</v>
      </c>
      <c r="J239" s="10"/>
    </row>
    <row r="240" spans="1:10" ht="12.75">
      <c r="A240">
        <f t="shared" si="34"/>
        <v>297</v>
      </c>
      <c r="B240" s="10">
        <f t="shared" si="37"/>
        <v>14.5</v>
      </c>
      <c r="C240" s="13">
        <f t="shared" si="28"/>
        <v>-0.04673469387755102</v>
      </c>
      <c r="D240" s="13">
        <f t="shared" si="29"/>
        <v>0</v>
      </c>
      <c r="E240" s="13">
        <f t="shared" si="30"/>
        <v>-0.31927955485654474</v>
      </c>
      <c r="F240" s="13">
        <f t="shared" si="31"/>
        <v>-0.36601424873409577</v>
      </c>
      <c r="G240" s="13">
        <f t="shared" si="32"/>
        <v>14.866014248734096</v>
      </c>
      <c r="H240" s="2">
        <f>H241</f>
        <v>3945.1069075461114</v>
      </c>
      <c r="I240" s="13">
        <f t="shared" si="33"/>
        <v>0.07371599485499197</v>
      </c>
      <c r="J240" s="10"/>
    </row>
    <row r="241" spans="1:10" ht="12.75">
      <c r="A241">
        <f t="shared" si="34"/>
        <v>298</v>
      </c>
      <c r="B241" s="10">
        <f t="shared" si="37"/>
        <v>14.5</v>
      </c>
      <c r="C241" s="13">
        <f>(D$7-A241)*(1/D$12+1/D$13)</f>
        <v>-0.07010204081632652</v>
      </c>
      <c r="D241" s="13">
        <f>MAX((D$8-A241)/D$11,0)</f>
        <v>0</v>
      </c>
      <c r="E241" s="13">
        <f>D$15*(D$18*D$20*D$16+D$19*D$21*D$17)*(D$7^4-MAX(A241,D$8)^4)</f>
        <v>-0.4813572158537869</v>
      </c>
      <c r="F241" s="13">
        <f>SUM(C241:E241)</f>
        <v>-0.5514592566701134</v>
      </c>
      <c r="G241" s="13">
        <f>B241-F241</f>
        <v>15.051459256670114</v>
      </c>
      <c r="H241" s="2">
        <f>H242</f>
        <v>3945.1069075461114</v>
      </c>
      <c r="I241" s="13">
        <f>H241/G241/3600</f>
        <v>0.07280775977839384</v>
      </c>
      <c r="J241" s="10"/>
    </row>
    <row r="242" spans="1:10" ht="12.75">
      <c r="A242">
        <f>A241+1</f>
        <v>299</v>
      </c>
      <c r="B242" s="10">
        <f t="shared" si="37"/>
        <v>14.5</v>
      </c>
      <c r="C242" s="13">
        <f>(D$7-A242)*(1/D$12+1/D$13)</f>
        <v>-0.09346938775510204</v>
      </c>
      <c r="D242" s="13">
        <f>MAX((D$8-A242)/D$11,0)</f>
        <v>0</v>
      </c>
      <c r="E242" s="13">
        <f>D$15*(D$18*D$20*D$16+D$19*D$21*D$17)*(D$7^4-MAX(A242,D$8)^4)</f>
        <v>-0.6450747702647512</v>
      </c>
      <c r="F242" s="13">
        <f>SUM(C242:E242)</f>
        <v>-0.7385441580198533</v>
      </c>
      <c r="G242" s="13">
        <f>B242-F242</f>
        <v>15.238544158019852</v>
      </c>
      <c r="H242" s="2">
        <f>H243</f>
        <v>3945.1069075461114</v>
      </c>
      <c r="I242" s="13">
        <f>H242/G242/3600</f>
        <v>0.07191389272558436</v>
      </c>
      <c r="J242" s="10"/>
    </row>
    <row r="243" spans="1:10" ht="12.75">
      <c r="A243">
        <f>A242+1</f>
        <v>300</v>
      </c>
      <c r="B243" s="10">
        <f t="shared" si="37"/>
        <v>14.5</v>
      </c>
      <c r="C243" s="13">
        <f>(D$7-A243)*(1/D$12+1/D$13)</f>
        <v>-0.11683673469387755</v>
      </c>
      <c r="D243" s="13">
        <f>MAX((D$8-A243)/D$11,0)</f>
        <v>0</v>
      </c>
      <c r="E243" s="13">
        <f>D$15*(D$18*D$20*D$16+D$19*D$21*D$17)*(D$7^4-MAX(A243,D$8)^4)</f>
        <v>-0.8104432425312489</v>
      </c>
      <c r="F243" s="13">
        <f>SUM(C243:E243)</f>
        <v>-0.9272799772251265</v>
      </c>
      <c r="G243" s="13">
        <f>B243-F243</f>
        <v>15.427279977225126</v>
      </c>
      <c r="H243" s="2">
        <f>D$32</f>
        <v>3945.1069075461114</v>
      </c>
      <c r="I243" s="13">
        <f>H243/G243/3600</f>
        <v>0.07103410526623699</v>
      </c>
      <c r="J243" s="10"/>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2:K18"/>
  <sheetViews>
    <sheetView workbookViewId="0" topLeftCell="A1">
      <selection activeCell="I23" sqref="I23"/>
    </sheetView>
  </sheetViews>
  <sheetFormatPr defaultColWidth="11.00390625" defaultRowHeight="12.75"/>
  <cols>
    <col min="1" max="1" width="12.125" style="0" customWidth="1"/>
    <col min="3" max="3" width="12.25390625" style="0" customWidth="1"/>
    <col min="7" max="7" width="12.625" style="0" customWidth="1"/>
    <col min="8" max="8" width="12.375" style="0" customWidth="1"/>
    <col min="9" max="9" width="12.25390625" style="0" bestFit="1" customWidth="1"/>
  </cols>
  <sheetData>
    <row r="2" spans="1:3" ht="18">
      <c r="A2" s="8" t="s">
        <v>44</v>
      </c>
      <c r="B2" s="8"/>
      <c r="C2" s="8"/>
    </row>
    <row r="4" spans="4:7" ht="12.75">
      <c r="D4" s="49" t="s">
        <v>65</v>
      </c>
      <c r="G4" t="s">
        <v>62</v>
      </c>
    </row>
    <row r="5" spans="1:9" ht="12.75">
      <c r="A5" s="9" t="s">
        <v>45</v>
      </c>
      <c r="B5" s="9" t="s">
        <v>55</v>
      </c>
      <c r="C5" s="9" t="s">
        <v>49</v>
      </c>
      <c r="D5" s="9" t="s">
        <v>50</v>
      </c>
      <c r="E5" s="9" t="s">
        <v>51</v>
      </c>
      <c r="F5" s="9"/>
      <c r="G5" s="9" t="s">
        <v>47</v>
      </c>
      <c r="H5" s="9" t="s">
        <v>47</v>
      </c>
      <c r="I5" s="9" t="s">
        <v>54</v>
      </c>
    </row>
    <row r="6" spans="1:9" ht="12.75">
      <c r="A6" s="9"/>
      <c r="B6" s="9"/>
      <c r="C6" s="9"/>
      <c r="D6" s="9" t="s">
        <v>53</v>
      </c>
      <c r="E6" s="9" t="s">
        <v>52</v>
      </c>
      <c r="F6" s="9" t="s">
        <v>66</v>
      </c>
      <c r="G6" s="9" t="s">
        <v>46</v>
      </c>
      <c r="H6" s="9" t="s">
        <v>48</v>
      </c>
      <c r="I6" s="9" t="s">
        <v>95</v>
      </c>
    </row>
    <row r="8" spans="1:9" ht="12.75">
      <c r="A8" t="s">
        <v>57</v>
      </c>
      <c r="B8">
        <v>1</v>
      </c>
      <c r="C8" t="s">
        <v>63</v>
      </c>
      <c r="D8" s="48">
        <v>235</v>
      </c>
      <c r="E8" s="48">
        <v>10240</v>
      </c>
      <c r="F8">
        <f>D8*E8</f>
        <v>2406400</v>
      </c>
      <c r="G8" s="48">
        <v>6.615</v>
      </c>
      <c r="H8" s="1">
        <f>G8/39.37^3</f>
        <v>0.0001084010787651718</v>
      </c>
      <c r="I8" s="2">
        <f>F8*H8*B8</f>
        <v>260.85635594050945</v>
      </c>
    </row>
    <row r="9" spans="1:9" ht="12.75">
      <c r="A9" t="s">
        <v>56</v>
      </c>
      <c r="B9">
        <v>12</v>
      </c>
      <c r="C9" t="s">
        <v>63</v>
      </c>
      <c r="D9">
        <f>D8</f>
        <v>235</v>
      </c>
      <c r="E9">
        <f>E8</f>
        <v>10240</v>
      </c>
      <c r="F9">
        <f aca="true" t="shared" si="0" ref="F9:F16">D9*E9</f>
        <v>2406400</v>
      </c>
      <c r="G9" s="48">
        <v>0.49</v>
      </c>
      <c r="H9" s="1">
        <f aca="true" t="shared" si="1" ref="H9:H16">G9/39.37^3</f>
        <v>8.029709538160874E-06</v>
      </c>
      <c r="I9" s="2">
        <f aca="true" t="shared" si="2" ref="I9:I16">F9*H9*B9</f>
        <v>231.8723163915639</v>
      </c>
    </row>
    <row r="10" spans="1:9" ht="12.75">
      <c r="A10" t="s">
        <v>58</v>
      </c>
      <c r="B10">
        <v>12</v>
      </c>
      <c r="C10" t="s">
        <v>63</v>
      </c>
      <c r="D10">
        <f>D9</f>
        <v>235</v>
      </c>
      <c r="E10">
        <f>E9</f>
        <v>10240</v>
      </c>
      <c r="F10">
        <f t="shared" si="0"/>
        <v>2406400</v>
      </c>
      <c r="G10" s="48">
        <v>0.106</v>
      </c>
      <c r="H10" s="1">
        <f t="shared" si="1"/>
        <v>1.7370392062143931E-06</v>
      </c>
      <c r="I10" s="2">
        <f t="shared" si="2"/>
        <v>50.16013375001179</v>
      </c>
    </row>
    <row r="11" spans="1:9" ht="12.75">
      <c r="A11" t="s">
        <v>59</v>
      </c>
      <c r="B11">
        <v>12</v>
      </c>
      <c r="C11" t="s">
        <v>67</v>
      </c>
      <c r="D11" s="48">
        <v>580</v>
      </c>
      <c r="E11" s="48">
        <v>3250</v>
      </c>
      <c r="F11">
        <f t="shared" si="0"/>
        <v>1885000</v>
      </c>
      <c r="G11" s="48">
        <v>0.729</v>
      </c>
      <c r="H11" s="1">
        <f t="shared" si="1"/>
        <v>1.1946241333304647E-05</v>
      </c>
      <c r="I11" s="2">
        <f t="shared" si="2"/>
        <v>270.22397895935114</v>
      </c>
    </row>
    <row r="12" spans="1:9" ht="12.75">
      <c r="A12" t="s">
        <v>60</v>
      </c>
      <c r="B12">
        <v>4</v>
      </c>
      <c r="C12" t="s">
        <v>64</v>
      </c>
      <c r="D12" s="48">
        <v>885</v>
      </c>
      <c r="E12" s="48">
        <v>2770</v>
      </c>
      <c r="F12">
        <f t="shared" si="0"/>
        <v>2451450</v>
      </c>
      <c r="G12" s="48">
        <v>0.0984</v>
      </c>
      <c r="H12" s="1">
        <f t="shared" si="1"/>
        <v>1.6124967725612857E-06</v>
      </c>
      <c r="I12" s="2">
        <f t="shared" si="2"/>
        <v>15.811820852381455</v>
      </c>
    </row>
    <row r="13" spans="1:9" ht="12.75">
      <c r="A13" t="s">
        <v>61</v>
      </c>
      <c r="B13">
        <v>4</v>
      </c>
      <c r="C13" t="s">
        <v>64</v>
      </c>
      <c r="D13">
        <f>D12</f>
        <v>885</v>
      </c>
      <c r="E13">
        <f>E12</f>
        <v>2770</v>
      </c>
      <c r="F13">
        <f t="shared" si="0"/>
        <v>2451450</v>
      </c>
      <c r="G13" s="48">
        <v>0.535</v>
      </c>
      <c r="H13" s="1">
        <f t="shared" si="1"/>
        <v>8.767131842685853E-06</v>
      </c>
      <c r="I13" s="2">
        <f t="shared" si="2"/>
        <v>85.96874142300894</v>
      </c>
    </row>
    <row r="15" spans="1:11" ht="12.75">
      <c r="A15" t="s">
        <v>69</v>
      </c>
      <c r="B15">
        <v>12</v>
      </c>
      <c r="C15" t="s">
        <v>67</v>
      </c>
      <c r="D15">
        <f>D11</f>
        <v>580</v>
      </c>
      <c r="E15">
        <f>E11</f>
        <v>3250</v>
      </c>
      <c r="F15">
        <f t="shared" si="0"/>
        <v>1885000</v>
      </c>
      <c r="G15">
        <f>1*0.3^2</f>
        <v>0.09</v>
      </c>
      <c r="H15" s="1">
        <f t="shared" si="1"/>
        <v>1.4748446090499565E-06</v>
      </c>
      <c r="I15" s="2">
        <f t="shared" si="2"/>
        <v>33.36098505671002</v>
      </c>
      <c r="K15" t="s">
        <v>72</v>
      </c>
    </row>
    <row r="16" spans="1:11" ht="12.75">
      <c r="A16" t="s">
        <v>70</v>
      </c>
      <c r="B16">
        <v>60</v>
      </c>
      <c r="C16" t="s">
        <v>71</v>
      </c>
      <c r="D16" s="48">
        <v>450</v>
      </c>
      <c r="E16" s="48">
        <v>8030</v>
      </c>
      <c r="F16">
        <f t="shared" si="0"/>
        <v>3613500</v>
      </c>
      <c r="G16" s="17">
        <f>0.5*PI()*0.05^2</f>
        <v>0.003926990816987242</v>
      </c>
      <c r="H16" s="1">
        <f t="shared" si="1"/>
        <v>6.435223595802575E-08</v>
      </c>
      <c r="I16" s="2">
        <f t="shared" si="2"/>
        <v>13.952208278059564</v>
      </c>
      <c r="K16" t="s">
        <v>72</v>
      </c>
    </row>
    <row r="18" spans="1:9" ht="12.75">
      <c r="A18" s="22" t="s">
        <v>68</v>
      </c>
      <c r="B18" s="14"/>
      <c r="C18" s="14"/>
      <c r="D18" s="14"/>
      <c r="E18" s="14"/>
      <c r="F18" s="14"/>
      <c r="G18" s="51">
        <f>SUM(G8:G16)</f>
        <v>8.667326990816989</v>
      </c>
      <c r="H18" s="52">
        <f>SUM(H8:H16)</f>
        <v>0.00014203289430310683</v>
      </c>
      <c r="I18" s="50">
        <f>SUM(I8:I16)</f>
        <v>962.2065406515961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1622"/>
  <sheetViews>
    <sheetView tabSelected="1" workbookViewId="0" topLeftCell="A1">
      <selection activeCell="F10" sqref="F10"/>
    </sheetView>
  </sheetViews>
  <sheetFormatPr defaultColWidth="11.00390625" defaultRowHeight="12.75"/>
  <cols>
    <col min="1" max="1" width="21.00390625" style="0" customWidth="1"/>
    <col min="4" max="4" width="8.125" style="0" bestFit="1" customWidth="1"/>
    <col min="5" max="5" width="12.375" style="0" customWidth="1"/>
    <col min="6" max="6" width="12.00390625" style="0" customWidth="1"/>
    <col min="7" max="7" width="10.25390625" style="0" customWidth="1"/>
    <col min="8" max="8" width="10.125" style="0" customWidth="1"/>
    <col min="10" max="10" width="10.75390625" style="10" customWidth="1"/>
    <col min="13" max="13" width="11.875" style="0" customWidth="1"/>
    <col min="16" max="16" width="11.625" style="0" bestFit="1" customWidth="1"/>
  </cols>
  <sheetData>
    <row r="1" spans="1:2" ht="18">
      <c r="A1" s="29" t="s">
        <v>36</v>
      </c>
      <c r="B1" s="29"/>
    </row>
    <row r="2" ht="12.75"/>
    <row r="3" ht="12.75"/>
    <row r="4" ht="12.75"/>
    <row r="5" ht="15">
      <c r="A5" s="30" t="s">
        <v>37</v>
      </c>
    </row>
    <row r="6" ht="12.75"/>
    <row r="7" spans="1:5" ht="12.75">
      <c r="A7" t="s">
        <v>39</v>
      </c>
      <c r="C7" t="s">
        <v>173</v>
      </c>
      <c r="D7">
        <v>295</v>
      </c>
      <c r="E7" t="s">
        <v>22</v>
      </c>
    </row>
    <row r="8" spans="1:5" ht="12.75">
      <c r="A8" t="s">
        <v>122</v>
      </c>
      <c r="C8" t="s">
        <v>123</v>
      </c>
      <c r="D8" s="41">
        <v>175</v>
      </c>
      <c r="E8" t="s">
        <v>22</v>
      </c>
    </row>
    <row r="9" spans="1:4" ht="12.75">
      <c r="A9" t="s">
        <v>124</v>
      </c>
      <c r="C9" t="s">
        <v>167</v>
      </c>
      <c r="D9" s="16" t="s">
        <v>176</v>
      </c>
    </row>
    <row r="10" spans="1:4" ht="12.75">
      <c r="A10" t="s">
        <v>174</v>
      </c>
      <c r="C10" t="s">
        <v>175</v>
      </c>
      <c r="D10" s="16" t="s">
        <v>176</v>
      </c>
    </row>
    <row r="11" ht="12.75"/>
    <row r="12" spans="1:5" ht="12.75">
      <c r="A12" t="s">
        <v>165</v>
      </c>
      <c r="C12" t="s">
        <v>166</v>
      </c>
      <c r="D12" s="53">
        <f>(175-128)/22</f>
        <v>2.1363636363636362</v>
      </c>
      <c r="E12" t="s">
        <v>207</v>
      </c>
    </row>
    <row r="13" spans="1:5" ht="12.75">
      <c r="A13" t="s">
        <v>209</v>
      </c>
      <c r="C13" t="s">
        <v>210</v>
      </c>
      <c r="D13" s="34">
        <f>(175-77)/(0.25*12)</f>
        <v>32.666666666666664</v>
      </c>
      <c r="E13" t="s">
        <v>207</v>
      </c>
    </row>
    <row r="14" spans="1:5" ht="12.75">
      <c r="A14" t="s">
        <v>208</v>
      </c>
      <c r="C14" t="s">
        <v>211</v>
      </c>
      <c r="D14" s="47">
        <f>1/(4*0.04*PI()*0.01^2/0.1)</f>
        <v>1989.4367886486916</v>
      </c>
      <c r="E14" t="s">
        <v>207</v>
      </c>
    </row>
    <row r="15" ht="12.75"/>
    <row r="16" spans="1:5" ht="12.75">
      <c r="A16" t="s">
        <v>177</v>
      </c>
      <c r="C16" t="s">
        <v>178</v>
      </c>
      <c r="D16" s="1">
        <v>5.669E-08</v>
      </c>
      <c r="E16" t="s">
        <v>179</v>
      </c>
    </row>
    <row r="17" spans="1:4" ht="12.75">
      <c r="A17" t="s">
        <v>163</v>
      </c>
      <c r="C17" t="s">
        <v>172</v>
      </c>
      <c r="D17" s="12">
        <v>0.15</v>
      </c>
    </row>
    <row r="18" spans="1:4" ht="12.75">
      <c r="A18" t="s">
        <v>99</v>
      </c>
      <c r="C18" t="s">
        <v>92</v>
      </c>
      <c r="D18" s="45">
        <v>0.97</v>
      </c>
    </row>
    <row r="19" spans="1:4" ht="12.75">
      <c r="A19" t="s">
        <v>40</v>
      </c>
      <c r="C19" t="s">
        <v>169</v>
      </c>
      <c r="D19" s="12">
        <v>0.3</v>
      </c>
    </row>
    <row r="20" spans="1:4" ht="12.75">
      <c r="A20" t="s">
        <v>41</v>
      </c>
      <c r="C20" t="s">
        <v>168</v>
      </c>
      <c r="D20" s="46">
        <v>0.97</v>
      </c>
    </row>
    <row r="21" spans="1:5" ht="12.75">
      <c r="A21" t="s">
        <v>164</v>
      </c>
      <c r="C21" t="s">
        <v>171</v>
      </c>
      <c r="D21" s="19">
        <f>2*D22</f>
        <v>0.0541552032</v>
      </c>
      <c r="E21" t="s">
        <v>131</v>
      </c>
    </row>
    <row r="22" spans="1:5" ht="12.75">
      <c r="A22" t="s">
        <v>212</v>
      </c>
      <c r="C22" t="s">
        <v>170</v>
      </c>
      <c r="D22" s="19">
        <f>radiation!B16</f>
        <v>0.0270776016</v>
      </c>
      <c r="E22" t="s">
        <v>131</v>
      </c>
    </row>
    <row r="23" ht="12.75"/>
    <row r="24" ht="12.75">
      <c r="A24" s="14" t="s">
        <v>184</v>
      </c>
    </row>
    <row r="25" spans="1:3" ht="12.75">
      <c r="A25" s="27" t="s">
        <v>181</v>
      </c>
      <c r="C25" t="s">
        <v>91</v>
      </c>
    </row>
    <row r="26" spans="1:3" ht="12.75">
      <c r="A26" s="27" t="s">
        <v>182</v>
      </c>
      <c r="C26" t="s">
        <v>180</v>
      </c>
    </row>
    <row r="27" spans="1:3" ht="12.75">
      <c r="A27" s="27" t="s">
        <v>183</v>
      </c>
      <c r="C27" t="s">
        <v>93</v>
      </c>
    </row>
    <row r="28" ht="12.75"/>
    <row r="29" spans="1:5" ht="12.75">
      <c r="A29" s="15" t="s">
        <v>197</v>
      </c>
      <c r="D29" s="2">
        <f>'Heat capacity'!I18</f>
        <v>962.2065406515961</v>
      </c>
      <c r="E29" t="s">
        <v>94</v>
      </c>
    </row>
    <row r="30" ht="12.75"/>
    <row r="31" spans="1:5" ht="12.75">
      <c r="A31" s="15" t="s">
        <v>116</v>
      </c>
      <c r="D31" s="32">
        <f>0.03*0.01*0.3</f>
        <v>8.999999999999999E-05</v>
      </c>
      <c r="E31" t="s">
        <v>104</v>
      </c>
    </row>
    <row r="32" spans="1:5" ht="12.75">
      <c r="A32" t="s">
        <v>117</v>
      </c>
      <c r="D32">
        <v>2770</v>
      </c>
      <c r="E32" t="s">
        <v>102</v>
      </c>
    </row>
    <row r="33" spans="1:5" ht="12.75">
      <c r="A33" t="s">
        <v>120</v>
      </c>
      <c r="D33">
        <f>D32*D31</f>
        <v>0.24929999999999997</v>
      </c>
      <c r="E33" t="s">
        <v>100</v>
      </c>
    </row>
    <row r="34" spans="1:5" ht="12.75">
      <c r="A34" s="15" t="s">
        <v>118</v>
      </c>
      <c r="D34">
        <v>961.2</v>
      </c>
      <c r="E34" t="s">
        <v>105</v>
      </c>
    </row>
    <row r="35" spans="1:5" ht="12.75">
      <c r="A35" t="s">
        <v>119</v>
      </c>
      <c r="D35" s="10">
        <f>D34*D33</f>
        <v>239.62715999999998</v>
      </c>
      <c r="E35" t="s">
        <v>94</v>
      </c>
    </row>
    <row r="36" spans="1:5" ht="12.75">
      <c r="A36" t="s">
        <v>121</v>
      </c>
      <c r="D36" s="10">
        <f>D35*1.3</f>
        <v>311.515308</v>
      </c>
      <c r="E36" t="s">
        <v>94</v>
      </c>
    </row>
    <row r="37" ht="12.75"/>
    <row r="38" ht="12.75">
      <c r="A38" s="15" t="s">
        <v>213</v>
      </c>
    </row>
    <row r="39" ht="12.75">
      <c r="A39" s="27" t="s">
        <v>73</v>
      </c>
    </row>
    <row r="40" spans="1:14" ht="12.75">
      <c r="A40" s="27" t="s">
        <v>196</v>
      </c>
      <c r="I40" s="16"/>
      <c r="M40" s="10">
        <f>17500/3600</f>
        <v>4.861111111111111</v>
      </c>
      <c r="N40" t="s">
        <v>126</v>
      </c>
    </row>
    <row r="41" spans="9:10" ht="12.75">
      <c r="I41" s="41">
        <v>15</v>
      </c>
      <c r="J41" s="44" t="s">
        <v>125</v>
      </c>
    </row>
    <row r="42" spans="1:17" ht="51">
      <c r="A42" s="31" t="s">
        <v>202</v>
      </c>
      <c r="B42" s="31" t="s">
        <v>110</v>
      </c>
      <c r="C42" s="31" t="s">
        <v>112</v>
      </c>
      <c r="E42" s="31" t="s">
        <v>109</v>
      </c>
      <c r="G42" s="31" t="s">
        <v>113</v>
      </c>
      <c r="I42" s="31" t="s">
        <v>111</v>
      </c>
      <c r="J42" s="42" t="s">
        <v>114</v>
      </c>
      <c r="K42" s="31" t="s">
        <v>167</v>
      </c>
      <c r="L42" s="31" t="s">
        <v>185</v>
      </c>
      <c r="M42" s="31" t="s">
        <v>115</v>
      </c>
      <c r="N42" s="31" t="s">
        <v>175</v>
      </c>
      <c r="P42" s="31" t="s">
        <v>74</v>
      </c>
      <c r="Q42" s="31" t="s">
        <v>75</v>
      </c>
    </row>
    <row r="43" spans="1:17" ht="12.75">
      <c r="A43" s="9" t="s">
        <v>203</v>
      </c>
      <c r="B43" s="9" t="s">
        <v>204</v>
      </c>
      <c r="C43" s="9" t="s">
        <v>95</v>
      </c>
      <c r="E43" s="9" t="s">
        <v>203</v>
      </c>
      <c r="G43" s="9" t="s">
        <v>95</v>
      </c>
      <c r="I43" s="9" t="s">
        <v>96</v>
      </c>
      <c r="J43" s="43" t="s">
        <v>204</v>
      </c>
      <c r="K43" s="9" t="s">
        <v>203</v>
      </c>
      <c r="L43" s="9" t="s">
        <v>204</v>
      </c>
      <c r="M43" s="9" t="s">
        <v>204</v>
      </c>
      <c r="N43" s="9" t="s">
        <v>203</v>
      </c>
      <c r="P43" s="9" t="s">
        <v>204</v>
      </c>
      <c r="Q43" s="9" t="s">
        <v>204</v>
      </c>
    </row>
    <row r="44" spans="1:17" ht="12.75">
      <c r="A44" s="14">
        <v>105</v>
      </c>
      <c r="B44" s="14">
        <v>0</v>
      </c>
      <c r="C44" s="10">
        <f>D36</f>
        <v>311.515308</v>
      </c>
      <c r="E44" s="46">
        <f>A44</f>
        <v>105</v>
      </c>
      <c r="G44" s="2">
        <f>D29</f>
        <v>962.2065406515961</v>
      </c>
      <c r="I44" s="2">
        <v>0</v>
      </c>
      <c r="J44" s="13">
        <f aca="true" t="shared" si="0" ref="J44:J119">(D$7-K44)*(1/D$13+1/D$14)+D$16*(D$19*D$21*D$17+D$20*D$22*D$18)*(D$7^4-K44^4)-(K44-N44)/D$12</f>
        <v>0</v>
      </c>
      <c r="K44" s="10">
        <f>D7</f>
        <v>295</v>
      </c>
      <c r="L44" s="13">
        <f aca="true" t="shared" si="1" ref="L44:L107">(K44-N44)/D$12</f>
        <v>0</v>
      </c>
      <c r="M44" s="10">
        <f>L44-VLOOKUP(N44,A$44:C$251,2,TRUE)</f>
        <v>-14.5</v>
      </c>
      <c r="N44">
        <f>D7</f>
        <v>295</v>
      </c>
      <c r="P44">
        <f>(D$7-K44)*(1/D$13+1/D$14)+D$16*(D$19*D$21*D$17+D$20*D$22*D$18)*(D$7^4-K44^4)</f>
        <v>0</v>
      </c>
      <c r="Q44" s="13">
        <f>IF(K44=D$8,-J44,0)</f>
        <v>0</v>
      </c>
    </row>
    <row r="45" spans="1:17" ht="12.75">
      <c r="A45">
        <f>A44+1</f>
        <v>106</v>
      </c>
      <c r="B45" s="10">
        <f>(A45-A$44)/(A$62-A$44)*(B$62-B$44)+B$44</f>
        <v>0.8333333333333333</v>
      </c>
      <c r="C45" s="10">
        <f>C44</f>
        <v>311.515308</v>
      </c>
      <c r="E45" s="46">
        <f aca="true" t="shared" si="2" ref="E45:E79">A45</f>
        <v>106</v>
      </c>
      <c r="G45" s="2">
        <f>G44</f>
        <v>962.2065406515961</v>
      </c>
      <c r="I45" s="2">
        <f>I44+IF(N44&lt;I$41,1,I$41)</f>
        <v>15</v>
      </c>
      <c r="J45" s="13">
        <f t="shared" si="0"/>
        <v>-0.32681703923935135</v>
      </c>
      <c r="K45" s="10">
        <f aca="true" t="shared" si="3" ref="K45:K65">MAX(D$8,K44+J44*I$41/VLOOKUP(K44,E$44:G$251,3,TRUE))</f>
        <v>295</v>
      </c>
      <c r="L45" s="13">
        <f t="shared" si="1"/>
        <v>0.32681703923935135</v>
      </c>
      <c r="M45" s="10">
        <f>L45-VLOOKUP(N45,A$44:C$251,2,TRUE)</f>
        <v>-14.173182960760649</v>
      </c>
      <c r="N45" s="10">
        <f aca="true" t="shared" si="4" ref="N45:N65">N44+M44*I$41/VLOOKUP(N44,A$44:C$251,3,TRUE)</f>
        <v>294.301799961625</v>
      </c>
      <c r="P45" s="2">
        <f aca="true" t="shared" si="5" ref="P45:P120">(D$7-K45)*(1/D$13+1/D$14)+D$16*(D$19*D$21*D$17+D$20*D$22*D$18)*(D$7^4-K45^4)</f>
        <v>0</v>
      </c>
      <c r="Q45" s="13">
        <f aca="true" t="shared" si="6" ref="Q45:Q120">IF(K45=D$8,-J45,0)</f>
        <v>0</v>
      </c>
    </row>
    <row r="46" spans="1:17" ht="12.75">
      <c r="A46">
        <f aca="true" t="shared" si="7" ref="A46:A121">A45+1</f>
        <v>107</v>
      </c>
      <c r="B46" s="10">
        <f aca="true" t="shared" si="8" ref="B46:B61">(A46-A$44)/(A$62-A$44)*(B$62-B$44)+B$44</f>
        <v>1.6666666666666665</v>
      </c>
      <c r="C46" s="10">
        <f aca="true" t="shared" si="9" ref="C46:C121">C45</f>
        <v>311.515308</v>
      </c>
      <c r="E46" s="46">
        <f t="shared" si="2"/>
        <v>107</v>
      </c>
      <c r="G46" s="2">
        <f aca="true" t="shared" si="10" ref="G46:G121">G45</f>
        <v>962.2065406515961</v>
      </c>
      <c r="I46" s="2">
        <f aca="true" t="shared" si="11" ref="I46:I120">I45+I$41</f>
        <v>30</v>
      </c>
      <c r="J46" s="13">
        <f t="shared" si="0"/>
        <v>-0.6428966916912825</v>
      </c>
      <c r="K46" s="10">
        <f t="shared" si="3"/>
        <v>294.9949051940706</v>
      </c>
      <c r="L46" s="13">
        <f t="shared" si="1"/>
        <v>0.6438831117627494</v>
      </c>
      <c r="M46" s="10">
        <f aca="true" t="shared" si="12" ref="M46:M109">L46-VLOOKUP(N46,A$44:C$251,2,TRUE)</f>
        <v>-13.856116888237251</v>
      </c>
      <c r="N46" s="10">
        <f t="shared" si="4"/>
        <v>293.619336728032</v>
      </c>
      <c r="P46" s="13">
        <f t="shared" si="5"/>
        <v>0.0009864200714669</v>
      </c>
      <c r="Q46" s="13">
        <f t="shared" si="6"/>
        <v>0</v>
      </c>
    </row>
    <row r="47" spans="1:17" ht="12.75">
      <c r="A47">
        <f t="shared" si="7"/>
        <v>108</v>
      </c>
      <c r="B47" s="10">
        <f t="shared" si="8"/>
        <v>2.5</v>
      </c>
      <c r="C47" s="10">
        <f t="shared" si="9"/>
        <v>311.515308</v>
      </c>
      <c r="E47" s="46">
        <f t="shared" si="2"/>
        <v>108</v>
      </c>
      <c r="G47" s="2">
        <f t="shared" si="10"/>
        <v>962.2065406515961</v>
      </c>
      <c r="I47" s="2">
        <f t="shared" si="11"/>
        <v>45</v>
      </c>
      <c r="J47" s="13">
        <f>(D$7-K47)*(1/D$13+1/D$14)+D$16*(D$19*D$21*D$17+D$20*D$22*D$18)*(D$7^4-K47^4)-(K47-N47)/D$12</f>
        <v>-0.9485696202082599</v>
      </c>
      <c r="K47" s="10">
        <f t="shared" si="3"/>
        <v>294.9848829691449</v>
      </c>
      <c r="L47" s="13">
        <f t="shared" si="1"/>
        <v>0.9514963469744887</v>
      </c>
      <c r="M47" s="10">
        <f t="shared" si="12"/>
        <v>-13.49850365302551</v>
      </c>
      <c r="N47" s="10">
        <f t="shared" si="4"/>
        <v>292.95214077333577</v>
      </c>
      <c r="P47" s="13">
        <f t="shared" si="5"/>
        <v>0.0029267267662288063</v>
      </c>
      <c r="Q47" s="13">
        <f t="shared" si="6"/>
        <v>0</v>
      </c>
    </row>
    <row r="48" spans="1:17" ht="12.75">
      <c r="A48">
        <f t="shared" si="7"/>
        <v>109</v>
      </c>
      <c r="B48" s="10">
        <f t="shared" si="8"/>
        <v>3.333333333333333</v>
      </c>
      <c r="C48" s="10">
        <f t="shared" si="9"/>
        <v>311.515308</v>
      </c>
      <c r="E48" s="46">
        <f t="shared" si="2"/>
        <v>109</v>
      </c>
      <c r="G48" s="2">
        <f t="shared" si="10"/>
        <v>962.2065406515961</v>
      </c>
      <c r="I48" s="2">
        <f t="shared" si="11"/>
        <v>60</v>
      </c>
      <c r="J48" s="13">
        <f t="shared" si="0"/>
        <v>-1.2430295141316612</v>
      </c>
      <c r="K48" s="10">
        <f t="shared" si="3"/>
        <v>294.97009555739703</v>
      </c>
      <c r="L48" s="13">
        <f t="shared" si="1"/>
        <v>1.2488187865349651</v>
      </c>
      <c r="M48" s="10">
        <f t="shared" si="12"/>
        <v>-13.201181213465034</v>
      </c>
      <c r="N48" s="10">
        <f t="shared" si="4"/>
        <v>292.30216451343597</v>
      </c>
      <c r="P48" s="13">
        <f t="shared" si="5"/>
        <v>0.005789272403303927</v>
      </c>
      <c r="Q48" s="13">
        <f t="shared" si="6"/>
        <v>0</v>
      </c>
    </row>
    <row r="49" spans="1:17" ht="12.75">
      <c r="A49">
        <f t="shared" si="7"/>
        <v>110</v>
      </c>
      <c r="B49" s="10">
        <f t="shared" si="8"/>
        <v>4.166666666666667</v>
      </c>
      <c r="C49" s="10">
        <f t="shared" si="9"/>
        <v>311.515308</v>
      </c>
      <c r="E49" s="46">
        <f t="shared" si="2"/>
        <v>110</v>
      </c>
      <c r="G49" s="2">
        <f t="shared" si="10"/>
        <v>962.2065406515961</v>
      </c>
      <c r="I49" s="2">
        <f t="shared" si="11"/>
        <v>75</v>
      </c>
      <c r="J49" s="13">
        <f t="shared" si="0"/>
        <v>-1.5277512758865845</v>
      </c>
      <c r="K49" s="10">
        <f t="shared" si="3"/>
        <v>294.95071776071387</v>
      </c>
      <c r="L49" s="13">
        <f t="shared" si="1"/>
        <v>1.5372911532473406</v>
      </c>
      <c r="M49" s="10">
        <f>L49-VLOOKUP(N49,A$44:C$251,2,TRUE)</f>
        <v>-12.86270884675266</v>
      </c>
      <c r="N49" s="10">
        <f t="shared" si="4"/>
        <v>291.66650484241273</v>
      </c>
      <c r="P49" s="13">
        <f t="shared" si="5"/>
        <v>0.009539877360756056</v>
      </c>
      <c r="Q49" s="13">
        <f t="shared" si="6"/>
        <v>0</v>
      </c>
    </row>
    <row r="50" spans="1:17" ht="12.75">
      <c r="A50">
        <f t="shared" si="7"/>
        <v>111</v>
      </c>
      <c r="B50" s="10">
        <f t="shared" si="8"/>
        <v>5</v>
      </c>
      <c r="C50" s="10">
        <f t="shared" si="9"/>
        <v>311.515308</v>
      </c>
      <c r="E50" s="46">
        <f t="shared" si="2"/>
        <v>111</v>
      </c>
      <c r="G50" s="2">
        <f t="shared" si="10"/>
        <v>962.2065406515961</v>
      </c>
      <c r="I50" s="2">
        <f t="shared" si="11"/>
        <v>90</v>
      </c>
      <c r="J50" s="13">
        <f t="shared" si="0"/>
        <v>-1.8019082979350545</v>
      </c>
      <c r="K50" s="10">
        <f t="shared" si="3"/>
        <v>294.92690138847973</v>
      </c>
      <c r="L50" s="13">
        <f t="shared" si="1"/>
        <v>1.816057024247074</v>
      </c>
      <c r="M50" s="10">
        <f t="shared" si="12"/>
        <v>-12.583942975752926</v>
      </c>
      <c r="N50" s="10">
        <f t="shared" si="4"/>
        <v>291.04714320031553</v>
      </c>
      <c r="P50" s="13">
        <f t="shared" si="5"/>
        <v>0.014148726312019399</v>
      </c>
      <c r="Q50" s="13">
        <f t="shared" si="6"/>
        <v>0</v>
      </c>
    </row>
    <row r="51" spans="1:17" ht="12.75">
      <c r="A51">
        <f t="shared" si="7"/>
        <v>112</v>
      </c>
      <c r="B51" s="10">
        <f t="shared" si="8"/>
        <v>5.833333333333333</v>
      </c>
      <c r="C51" s="10">
        <f t="shared" si="9"/>
        <v>311.515308</v>
      </c>
      <c r="E51" s="46">
        <f t="shared" si="2"/>
        <v>112</v>
      </c>
      <c r="G51" s="2">
        <f t="shared" si="10"/>
        <v>962.2065406515961</v>
      </c>
      <c r="I51" s="2">
        <f t="shared" si="11"/>
        <v>105</v>
      </c>
      <c r="J51" s="13">
        <f t="shared" si="0"/>
        <v>-2.066955786854012</v>
      </c>
      <c r="K51" s="10">
        <f t="shared" si="3"/>
        <v>294.8988111362032</v>
      </c>
      <c r="L51" s="13">
        <f t="shared" si="1"/>
        <v>2.086539222093794</v>
      </c>
      <c r="M51" s="10">
        <f t="shared" si="12"/>
        <v>-12.263460777906205</v>
      </c>
      <c r="N51" s="10">
        <f t="shared" si="4"/>
        <v>290.44120461627557</v>
      </c>
      <c r="P51" s="13">
        <f t="shared" si="5"/>
        <v>0.019583435239782326</v>
      </c>
      <c r="Q51" s="13">
        <f t="shared" si="6"/>
        <v>0</v>
      </c>
    </row>
    <row r="52" spans="1:17" ht="12.75">
      <c r="A52">
        <f t="shared" si="7"/>
        <v>113</v>
      </c>
      <c r="B52" s="10">
        <f t="shared" si="8"/>
        <v>6.666666666666666</v>
      </c>
      <c r="C52" s="10">
        <f t="shared" si="9"/>
        <v>311.515308</v>
      </c>
      <c r="E52" s="46">
        <f t="shared" si="2"/>
        <v>113</v>
      </c>
      <c r="G52" s="2">
        <f t="shared" si="10"/>
        <v>962.2065406515961</v>
      </c>
      <c r="I52" s="2">
        <f t="shared" si="11"/>
        <v>120</v>
      </c>
      <c r="J52" s="13">
        <f t="shared" si="0"/>
        <v>-2.322048025558367</v>
      </c>
      <c r="K52" s="10">
        <f t="shared" si="3"/>
        <v>294.86658901393224</v>
      </c>
      <c r="L52" s="13">
        <f t="shared" si="1"/>
        <v>2.3478639708567224</v>
      </c>
      <c r="M52" s="10">
        <f t="shared" si="12"/>
        <v>-11.95213602914328</v>
      </c>
      <c r="N52" s="10">
        <f t="shared" si="4"/>
        <v>289.8506978034656</v>
      </c>
      <c r="P52" s="13">
        <f t="shared" si="5"/>
        <v>0.025815945298355365</v>
      </c>
      <c r="Q52" s="13">
        <f t="shared" si="6"/>
        <v>0</v>
      </c>
    </row>
    <row r="53" spans="1:17" ht="12.75">
      <c r="A53">
        <f t="shared" si="7"/>
        <v>114</v>
      </c>
      <c r="B53" s="10">
        <f t="shared" si="8"/>
        <v>7.5</v>
      </c>
      <c r="C53" s="10">
        <f t="shared" si="9"/>
        <v>311.515308</v>
      </c>
      <c r="E53" s="46">
        <f t="shared" si="2"/>
        <v>114</v>
      </c>
      <c r="G53" s="2">
        <f t="shared" si="10"/>
        <v>962.2065406515961</v>
      </c>
      <c r="I53" s="2">
        <f t="shared" si="11"/>
        <v>135</v>
      </c>
      <c r="J53" s="13">
        <f t="shared" si="0"/>
        <v>-2.5674947226779765</v>
      </c>
      <c r="K53" s="10">
        <f t="shared" si="3"/>
        <v>294.830390215741</v>
      </c>
      <c r="L53" s="13">
        <f t="shared" si="1"/>
        <v>2.600310315287581</v>
      </c>
      <c r="M53" s="10">
        <f t="shared" si="12"/>
        <v>-11.69968968471242</v>
      </c>
      <c r="N53" s="10">
        <f t="shared" si="4"/>
        <v>289.2751818148993</v>
      </c>
      <c r="P53" s="13">
        <f t="shared" si="5"/>
        <v>0.03281559260960416</v>
      </c>
      <c r="Q53" s="13">
        <f t="shared" si="6"/>
        <v>0</v>
      </c>
    </row>
    <row r="54" spans="1:17" ht="12.75">
      <c r="A54">
        <f t="shared" si="7"/>
        <v>115</v>
      </c>
      <c r="B54" s="10">
        <f t="shared" si="8"/>
        <v>8.333333333333334</v>
      </c>
      <c r="C54" s="10">
        <f t="shared" si="9"/>
        <v>311.515308</v>
      </c>
      <c r="E54" s="46">
        <f t="shared" si="2"/>
        <v>115</v>
      </c>
      <c r="G54" s="2">
        <f t="shared" si="10"/>
        <v>962.2065406515961</v>
      </c>
      <c r="I54" s="2">
        <f t="shared" si="11"/>
        <v>150</v>
      </c>
      <c r="J54" s="13">
        <f t="shared" si="0"/>
        <v>-2.804723102631336</v>
      </c>
      <c r="K54" s="10">
        <f t="shared" si="3"/>
        <v>294.7903651076035</v>
      </c>
      <c r="L54" s="13">
        <f t="shared" si="1"/>
        <v>2.845275706064796</v>
      </c>
      <c r="M54" s="10">
        <f t="shared" si="12"/>
        <v>-11.404724293935203</v>
      </c>
      <c r="N54" s="10">
        <f t="shared" si="4"/>
        <v>288.7118215537378</v>
      </c>
      <c r="P54" s="13">
        <f t="shared" si="5"/>
        <v>0.0405526034334599</v>
      </c>
      <c r="Q54" s="13">
        <f t="shared" si="6"/>
        <v>0</v>
      </c>
    </row>
    <row r="55" spans="1:17" ht="12.75">
      <c r="A55">
        <f t="shared" si="7"/>
        <v>116</v>
      </c>
      <c r="B55" s="10">
        <f t="shared" si="8"/>
        <v>9.166666666666668</v>
      </c>
      <c r="C55" s="10">
        <f t="shared" si="9"/>
        <v>311.515308</v>
      </c>
      <c r="E55" s="46">
        <f t="shared" si="2"/>
        <v>116</v>
      </c>
      <c r="G55" s="2">
        <f t="shared" si="10"/>
        <v>962.2065406515961</v>
      </c>
      <c r="I55" s="2">
        <f t="shared" si="11"/>
        <v>165</v>
      </c>
      <c r="J55" s="13">
        <f t="shared" si="0"/>
        <v>-3.0328603031936487</v>
      </c>
      <c r="K55" s="10">
        <f t="shared" si="3"/>
        <v>294.74664180625183</v>
      </c>
      <c r="L55" s="13">
        <f t="shared" si="1"/>
        <v>3.0818617714232963</v>
      </c>
      <c r="M55" s="10">
        <f t="shared" si="12"/>
        <v>-11.168138228576703</v>
      </c>
      <c r="N55" s="10">
        <f t="shared" si="4"/>
        <v>288.1626643854839</v>
      </c>
      <c r="P55" s="13">
        <f t="shared" si="5"/>
        <v>0.04900146822964751</v>
      </c>
      <c r="Q55" s="13">
        <f t="shared" si="6"/>
        <v>0</v>
      </c>
    </row>
    <row r="56" spans="1:17" ht="12.75">
      <c r="A56">
        <f t="shared" si="7"/>
        <v>117</v>
      </c>
      <c r="B56" s="10">
        <f t="shared" si="8"/>
        <v>10</v>
      </c>
      <c r="C56" s="10">
        <f t="shared" si="9"/>
        <v>311.515308</v>
      </c>
      <c r="E56" s="46">
        <f t="shared" si="2"/>
        <v>117</v>
      </c>
      <c r="G56" s="2">
        <f t="shared" si="10"/>
        <v>962.2065406515961</v>
      </c>
      <c r="I56" s="2">
        <f t="shared" si="11"/>
        <v>180</v>
      </c>
      <c r="J56" s="13">
        <f t="shared" si="0"/>
        <v>-3.253316650298282</v>
      </c>
      <c r="K56" s="10">
        <f t="shared" si="3"/>
        <v>294.69936203561434</v>
      </c>
      <c r="L56" s="13">
        <f t="shared" si="1"/>
        <v>3.3114506680360107</v>
      </c>
      <c r="M56" s="10">
        <f t="shared" si="12"/>
        <v>-10.888549331963988</v>
      </c>
      <c r="N56" s="10">
        <f t="shared" si="4"/>
        <v>287.62489924481014</v>
      </c>
      <c r="P56" s="13">
        <f t="shared" si="5"/>
        <v>0.05813401773772851</v>
      </c>
      <c r="Q56" s="13">
        <f t="shared" si="6"/>
        <v>0</v>
      </c>
    </row>
    <row r="57" spans="1:17" ht="12.75">
      <c r="A57">
        <f t="shared" si="7"/>
        <v>118</v>
      </c>
      <c r="B57" s="10">
        <f t="shared" si="8"/>
        <v>10.833333333333334</v>
      </c>
      <c r="C57" s="10">
        <f t="shared" si="9"/>
        <v>311.515308</v>
      </c>
      <c r="E57" s="46">
        <f t="shared" si="2"/>
        <v>118</v>
      </c>
      <c r="G57" s="2">
        <f t="shared" si="10"/>
        <v>962.2065406515961</v>
      </c>
      <c r="I57" s="2">
        <f t="shared" si="11"/>
        <v>195</v>
      </c>
      <c r="J57" s="13">
        <f t="shared" si="0"/>
        <v>-3.465202890964352</v>
      </c>
      <c r="K57" s="10">
        <f t="shared" si="3"/>
        <v>294.6486455338107</v>
      </c>
      <c r="L57" s="13">
        <f t="shared" si="1"/>
        <v>3.533129198154842</v>
      </c>
      <c r="M57" s="10">
        <f t="shared" si="12"/>
        <v>-10.666870801845157</v>
      </c>
      <c r="N57" s="10">
        <f t="shared" si="4"/>
        <v>287.10059679229806</v>
      </c>
      <c r="P57" s="13">
        <f t="shared" si="5"/>
        <v>0.0679263071904898</v>
      </c>
      <c r="Q57" s="13">
        <f t="shared" si="6"/>
        <v>0</v>
      </c>
    </row>
    <row r="58" spans="1:17" ht="12.75">
      <c r="A58">
        <f t="shared" si="7"/>
        <v>119</v>
      </c>
      <c r="B58" s="10">
        <f t="shared" si="8"/>
        <v>11.666666666666666</v>
      </c>
      <c r="C58" s="10">
        <f t="shared" si="9"/>
        <v>311.515308</v>
      </c>
      <c r="E58" s="46">
        <f t="shared" si="2"/>
        <v>119</v>
      </c>
      <c r="G58" s="2">
        <f t="shared" si="10"/>
        <v>962.2065406515961</v>
      </c>
      <c r="I58" s="2">
        <f t="shared" si="11"/>
        <v>210</v>
      </c>
      <c r="J58" s="13">
        <f t="shared" si="0"/>
        <v>-3.6699134484061062</v>
      </c>
      <c r="K58" s="10">
        <f t="shared" si="3"/>
        <v>294.5946259016751</v>
      </c>
      <c r="L58" s="13">
        <f t="shared" si="1"/>
        <v>3.7482651462383596</v>
      </c>
      <c r="M58" s="10">
        <f t="shared" si="12"/>
        <v>-10.40173485376164</v>
      </c>
      <c r="N58" s="10">
        <f t="shared" si="4"/>
        <v>286.58696854380224</v>
      </c>
      <c r="P58" s="13">
        <f t="shared" si="5"/>
        <v>0.07835169783225335</v>
      </c>
      <c r="Q58" s="13">
        <f t="shared" si="6"/>
        <v>0</v>
      </c>
    </row>
    <row r="59" spans="1:17" ht="12.75">
      <c r="A59">
        <f t="shared" si="7"/>
        <v>120</v>
      </c>
      <c r="B59" s="10">
        <f t="shared" si="8"/>
        <v>12.5</v>
      </c>
      <c r="C59" s="10">
        <f t="shared" si="9"/>
        <v>311.515308</v>
      </c>
      <c r="E59" s="46">
        <f t="shared" si="2"/>
        <v>120</v>
      </c>
      <c r="G59" s="2">
        <f t="shared" si="10"/>
        <v>962.2065406515961</v>
      </c>
      <c r="I59" s="2">
        <f t="shared" si="11"/>
        <v>225</v>
      </c>
      <c r="J59" s="13">
        <f t="shared" si="0"/>
        <v>-3.8665436464065666</v>
      </c>
      <c r="K59" s="10">
        <f t="shared" si="3"/>
        <v>294.5374150021433</v>
      </c>
      <c r="L59" s="13">
        <f t="shared" si="1"/>
        <v>3.9559313823039965</v>
      </c>
      <c r="M59" s="10">
        <f t="shared" si="12"/>
        <v>-10.194068617696004</v>
      </c>
      <c r="N59" s="10">
        <f t="shared" si="4"/>
        <v>286.0861070490393</v>
      </c>
      <c r="P59" s="13">
        <f t="shared" si="5"/>
        <v>0.08938773589742978</v>
      </c>
      <c r="Q59" s="13">
        <f t="shared" si="6"/>
        <v>0</v>
      </c>
    </row>
    <row r="60" spans="1:17" ht="12.75">
      <c r="A60">
        <f t="shared" si="7"/>
        <v>121</v>
      </c>
      <c r="B60" s="10">
        <f t="shared" si="8"/>
        <v>13.333333333333332</v>
      </c>
      <c r="C60" s="10">
        <f t="shared" si="9"/>
        <v>311.515308</v>
      </c>
      <c r="E60" s="46">
        <f t="shared" si="2"/>
        <v>121</v>
      </c>
      <c r="G60" s="2">
        <f t="shared" si="10"/>
        <v>962.2065406515961</v>
      </c>
      <c r="I60" s="2">
        <f t="shared" si="11"/>
        <v>240</v>
      </c>
      <c r="J60" s="13">
        <f t="shared" si="0"/>
        <v>-4.056472944665465</v>
      </c>
      <c r="K60" s="10">
        <f t="shared" si="3"/>
        <v>294.477138801301</v>
      </c>
      <c r="L60" s="13">
        <f t="shared" si="1"/>
        <v>4.157482185140264</v>
      </c>
      <c r="M60" s="10">
        <f t="shared" si="12"/>
        <v>-9.942517814859736</v>
      </c>
      <c r="N60" s="10">
        <f t="shared" si="4"/>
        <v>285.5952450421377</v>
      </c>
      <c r="P60" s="13">
        <f t="shared" si="5"/>
        <v>0.1010092404747989</v>
      </c>
      <c r="Q60" s="13">
        <f t="shared" si="6"/>
        <v>0</v>
      </c>
    </row>
    <row r="61" spans="1:17" ht="12.75">
      <c r="A61">
        <f t="shared" si="7"/>
        <v>122</v>
      </c>
      <c r="B61" s="10">
        <f t="shared" si="8"/>
        <v>14.166666666666666</v>
      </c>
      <c r="C61" s="10">
        <f t="shared" si="9"/>
        <v>311.515308</v>
      </c>
      <c r="E61" s="46">
        <f t="shared" si="2"/>
        <v>122</v>
      </c>
      <c r="G61" s="2">
        <f t="shared" si="10"/>
        <v>962.2065406515961</v>
      </c>
      <c r="I61" s="2">
        <f t="shared" si="11"/>
        <v>255</v>
      </c>
      <c r="J61" s="13">
        <f t="shared" si="0"/>
        <v>-4.238782156153779</v>
      </c>
      <c r="K61" s="10">
        <f t="shared" si="3"/>
        <v>294.4139017606041</v>
      </c>
      <c r="L61" s="13">
        <f t="shared" si="1"/>
        <v>4.351977332689835</v>
      </c>
      <c r="M61" s="10">
        <f t="shared" si="12"/>
        <v>-9.748022667310163</v>
      </c>
      <c r="N61" s="10">
        <f t="shared" si="4"/>
        <v>285.11649564076674</v>
      </c>
      <c r="P61" s="13">
        <f t="shared" si="5"/>
        <v>0.11319517653605594</v>
      </c>
      <c r="Q61" s="13">
        <f t="shared" si="6"/>
        <v>0</v>
      </c>
    </row>
    <row r="62" spans="1:17" ht="12.75">
      <c r="A62" s="14">
        <f t="shared" si="7"/>
        <v>123</v>
      </c>
      <c r="B62" s="14">
        <v>15</v>
      </c>
      <c r="C62" s="10">
        <f t="shared" si="9"/>
        <v>311.515308</v>
      </c>
      <c r="E62" s="46">
        <f t="shared" si="2"/>
        <v>123</v>
      </c>
      <c r="G62" s="2">
        <f t="shared" si="10"/>
        <v>962.2065406515961</v>
      </c>
      <c r="I62" s="2">
        <f t="shared" si="11"/>
        <v>270</v>
      </c>
      <c r="J62" s="13">
        <f t="shared" si="0"/>
        <v>-4.4148366626599875</v>
      </c>
      <c r="K62" s="10">
        <f t="shared" si="3"/>
        <v>294.3478226708702</v>
      </c>
      <c r="L62" s="13">
        <f t="shared" si="1"/>
        <v>4.5407584126364275</v>
      </c>
      <c r="M62" s="10">
        <f t="shared" si="12"/>
        <v>-9.509241587363572</v>
      </c>
      <c r="N62" s="10">
        <f t="shared" si="4"/>
        <v>284.64711151660146</v>
      </c>
      <c r="P62" s="13">
        <f t="shared" si="5"/>
        <v>0.12592174997644</v>
      </c>
      <c r="Q62" s="13">
        <f t="shared" si="6"/>
        <v>0</v>
      </c>
    </row>
    <row r="63" spans="1:17" ht="12.75">
      <c r="A63">
        <f t="shared" si="7"/>
        <v>124</v>
      </c>
      <c r="B63" s="10">
        <f>(A63-A$62)/(A$65-A$62)*(B$65-B$62)+B$62</f>
        <v>16.666666666666668</v>
      </c>
      <c r="C63" s="10">
        <f t="shared" si="9"/>
        <v>311.515308</v>
      </c>
      <c r="E63" s="46">
        <f t="shared" si="2"/>
        <v>124</v>
      </c>
      <c r="G63" s="2">
        <f t="shared" si="10"/>
        <v>962.2065406515961</v>
      </c>
      <c r="I63" s="2">
        <f t="shared" si="11"/>
        <v>285</v>
      </c>
      <c r="J63" s="13">
        <f t="shared" si="0"/>
        <v>-4.5837036265701405</v>
      </c>
      <c r="K63" s="10">
        <f t="shared" si="3"/>
        <v>294.2789990377497</v>
      </c>
      <c r="L63" s="13">
        <f t="shared" si="1"/>
        <v>4.722872900591348</v>
      </c>
      <c r="M63" s="10">
        <f t="shared" si="12"/>
        <v>-9.327127099408653</v>
      </c>
      <c r="N63" s="10">
        <f t="shared" si="4"/>
        <v>284.1892251137591</v>
      </c>
      <c r="P63" s="13">
        <f t="shared" si="5"/>
        <v>0.13916927402120738</v>
      </c>
      <c r="Q63" s="13">
        <f t="shared" si="6"/>
        <v>0</v>
      </c>
    </row>
    <row r="64" spans="1:17" ht="12.75">
      <c r="A64">
        <f t="shared" si="7"/>
        <v>125</v>
      </c>
      <c r="B64" s="10">
        <f>(A64-A$62)/(A$65-A$62)*(B$65-B$62)+B$62</f>
        <v>18.333333333333332</v>
      </c>
      <c r="C64" s="10">
        <f t="shared" si="9"/>
        <v>311.515308</v>
      </c>
      <c r="E64" s="46">
        <f t="shared" si="2"/>
        <v>125</v>
      </c>
      <c r="G64" s="2">
        <f t="shared" si="10"/>
        <v>962.2065406515961</v>
      </c>
      <c r="I64" s="2">
        <f t="shared" si="11"/>
        <v>300</v>
      </c>
      <c r="J64" s="13">
        <f t="shared" si="0"/>
        <v>-4.7467351865980865</v>
      </c>
      <c r="K64" s="10">
        <f t="shared" si="3"/>
        <v>294.2075429090562</v>
      </c>
      <c r="L64" s="13">
        <f t="shared" si="1"/>
        <v>4.899650458799648</v>
      </c>
      <c r="M64" s="10">
        <f t="shared" si="12"/>
        <v>-9.100349541200352</v>
      </c>
      <c r="N64" s="10">
        <f t="shared" si="4"/>
        <v>283.7401078379842</v>
      </c>
      <c r="P64" s="13">
        <f t="shared" si="5"/>
        <v>0.15291527220156145</v>
      </c>
      <c r="Q64" s="13">
        <f t="shared" si="6"/>
        <v>0</v>
      </c>
    </row>
    <row r="65" spans="1:17" ht="12.75">
      <c r="A65" s="14">
        <f t="shared" si="7"/>
        <v>126</v>
      </c>
      <c r="B65" s="14">
        <v>20</v>
      </c>
      <c r="C65" s="10">
        <f t="shared" si="9"/>
        <v>311.515308</v>
      </c>
      <c r="E65" s="46">
        <f t="shared" si="2"/>
        <v>126</v>
      </c>
      <c r="G65" s="2">
        <f t="shared" si="10"/>
        <v>962.2065406515961</v>
      </c>
      <c r="I65" s="2">
        <f t="shared" si="11"/>
        <v>315</v>
      </c>
      <c r="J65" s="13">
        <f t="shared" si="0"/>
        <v>-4.902985665349501</v>
      </c>
      <c r="K65" s="10">
        <f t="shared" si="3"/>
        <v>294.1335452538846</v>
      </c>
      <c r="L65" s="13">
        <f t="shared" si="1"/>
        <v>5.070127002858182</v>
      </c>
      <c r="M65" s="10">
        <f t="shared" si="12"/>
        <v>-8.929872997141818</v>
      </c>
      <c r="N65" s="10">
        <f t="shared" si="4"/>
        <v>283.30191029323305</v>
      </c>
      <c r="P65" s="13">
        <f t="shared" si="5"/>
        <v>0.16714133750868118</v>
      </c>
      <c r="Q65" s="13">
        <f t="shared" si="6"/>
        <v>0</v>
      </c>
    </row>
    <row r="66" spans="1:17" ht="12.75">
      <c r="A66" s="46">
        <f>A65+0.2</f>
        <v>126.2</v>
      </c>
      <c r="B66" s="54">
        <f>(A66-A$65)/(A$79-A$65)*(B$79-B$65)+B$65</f>
        <v>20.571428571428584</v>
      </c>
      <c r="C66" s="10">
        <f aca="true" t="shared" si="13" ref="C66:C77">C65</f>
        <v>311.515308</v>
      </c>
      <c r="E66" s="46">
        <f t="shared" si="2"/>
        <v>126.2</v>
      </c>
      <c r="G66" s="2">
        <f aca="true" t="shared" si="14" ref="G66:G77">G65</f>
        <v>962.2065406515961</v>
      </c>
      <c r="I66" s="2">
        <f aca="true" t="shared" si="15" ref="I66:I77">I65+I$41</f>
        <v>330</v>
      </c>
      <c r="J66" s="13">
        <f aca="true" t="shared" si="16" ref="J66:J77">(D$7-K66)*(1/D$13+1/D$14)+D$16*(D$19*D$21*D$17+D$20*D$22*D$18)*(D$7^4-K66^4)-(K66-N66)/D$12</f>
        <v>-5.053794745244677</v>
      </c>
      <c r="K66" s="10">
        <f aca="true" t="shared" si="17" ref="K66:K77">MAX(D$8,K65+J65*I$41/VLOOKUP(K65,E$44:G$251,3,TRUE))</f>
        <v>294.05711178365436</v>
      </c>
      <c r="L66" s="13">
        <f t="shared" si="1"/>
        <v>5.235620989242454</v>
      </c>
      <c r="M66" s="10">
        <f t="shared" si="12"/>
        <v>-8.714379010757545</v>
      </c>
      <c r="N66" s="10">
        <f aca="true" t="shared" si="18" ref="N66:N77">N65+M65*I$41/VLOOKUP(N65,A$44:C$251,3,TRUE)</f>
        <v>282.8719214884546</v>
      </c>
      <c r="P66" s="13">
        <f aca="true" t="shared" si="19" ref="P66:P77">(D$7-K66)*(1/D$13+1/D$14)+D$16*(D$19*D$21*D$17+D$20*D$22*D$18)*(D$7^4-K66^4)</f>
        <v>0.18182624399777658</v>
      </c>
      <c r="Q66" s="13">
        <f aca="true" t="shared" si="20" ref="Q66:Q77">IF(K66=D$8,-J66,0)</f>
        <v>0</v>
      </c>
    </row>
    <row r="67" spans="1:17" ht="12.75">
      <c r="A67" s="46">
        <f aca="true" t="shared" si="21" ref="A67:A79">A66+0.2</f>
        <v>126.4</v>
      </c>
      <c r="B67" s="54">
        <f aca="true" t="shared" si="22" ref="B67:B78">(A67-A$65)/(A$79-A$65)*(B$79-B$65)+B$65</f>
        <v>21.142857142857167</v>
      </c>
      <c r="C67" s="10">
        <f t="shared" si="13"/>
        <v>311.515308</v>
      </c>
      <c r="E67" s="46">
        <f t="shared" si="2"/>
        <v>126.4</v>
      </c>
      <c r="G67" s="2">
        <f t="shared" si="14"/>
        <v>962.2065406515961</v>
      </c>
      <c r="I67" s="2">
        <f t="shared" si="15"/>
        <v>345</v>
      </c>
      <c r="J67" s="13">
        <f t="shared" si="16"/>
        <v>-5.198204673142735</v>
      </c>
      <c r="K67" s="10">
        <f t="shared" si="17"/>
        <v>293.97832732524967</v>
      </c>
      <c r="L67" s="13">
        <f t="shared" si="1"/>
        <v>5.395157471242234</v>
      </c>
      <c r="M67" s="10">
        <f t="shared" si="12"/>
        <v>-8.554842528757765</v>
      </c>
      <c r="N67" s="10">
        <f t="shared" si="18"/>
        <v>282.45230909123217</v>
      </c>
      <c r="P67" s="13">
        <f t="shared" si="19"/>
        <v>0.1969527980994989</v>
      </c>
      <c r="Q67" s="13">
        <f t="shared" si="20"/>
        <v>0</v>
      </c>
    </row>
    <row r="68" spans="1:17" ht="12.75">
      <c r="A68" s="46">
        <f t="shared" si="21"/>
        <v>126.60000000000001</v>
      </c>
      <c r="B68" s="54">
        <f t="shared" si="22"/>
        <v>21.71428571428575</v>
      </c>
      <c r="C68" s="10">
        <f t="shared" si="13"/>
        <v>311.515308</v>
      </c>
      <c r="E68" s="46">
        <f t="shared" si="2"/>
        <v>126.60000000000001</v>
      </c>
      <c r="G68" s="2">
        <f t="shared" si="14"/>
        <v>962.2065406515961</v>
      </c>
      <c r="I68" s="2">
        <f t="shared" si="15"/>
        <v>360</v>
      </c>
      <c r="J68" s="13">
        <f t="shared" si="16"/>
        <v>-5.337543416486201</v>
      </c>
      <c r="K68" s="10">
        <f t="shared" si="17"/>
        <v>293.89729163613003</v>
      </c>
      <c r="L68" s="13">
        <f t="shared" si="1"/>
        <v>5.550044375970036</v>
      </c>
      <c r="M68" s="10">
        <f t="shared" si="12"/>
        <v>-8.399955624029964</v>
      </c>
      <c r="N68" s="10">
        <f t="shared" si="18"/>
        <v>282.04037865110314</v>
      </c>
      <c r="P68" s="13">
        <f t="shared" si="19"/>
        <v>0.21250095948383535</v>
      </c>
      <c r="Q68" s="13">
        <f t="shared" si="20"/>
        <v>0</v>
      </c>
    </row>
    <row r="69" spans="1:17" ht="12.75">
      <c r="A69" s="46">
        <f t="shared" si="21"/>
        <v>126.80000000000001</v>
      </c>
      <c r="B69" s="54">
        <f t="shared" si="22"/>
        <v>22.28571428571433</v>
      </c>
      <c r="C69" s="10">
        <f t="shared" si="13"/>
        <v>311.515308</v>
      </c>
      <c r="E69" s="46">
        <f t="shared" si="2"/>
        <v>126.80000000000001</v>
      </c>
      <c r="G69" s="2">
        <f t="shared" si="14"/>
        <v>962.2065406515961</v>
      </c>
      <c r="I69" s="2">
        <f t="shared" si="15"/>
        <v>375</v>
      </c>
      <c r="J69" s="13">
        <f t="shared" si="16"/>
        <v>-5.471968821489899</v>
      </c>
      <c r="K69" s="10">
        <f t="shared" si="17"/>
        <v>293.81408377184647</v>
      </c>
      <c r="L69" s="13">
        <f t="shared" si="1"/>
        <v>5.700423505467547</v>
      </c>
      <c r="M69" s="10">
        <f t="shared" si="12"/>
        <v>-8.199576494532455</v>
      </c>
      <c r="N69" s="10">
        <f t="shared" si="18"/>
        <v>281.6359062828931</v>
      </c>
      <c r="P69" s="13">
        <f t="shared" si="19"/>
        <v>0.22845468397764757</v>
      </c>
      <c r="Q69" s="13">
        <f t="shared" si="20"/>
        <v>0</v>
      </c>
    </row>
    <row r="70" spans="1:17" ht="12.75">
      <c r="A70" s="46">
        <f t="shared" si="21"/>
        <v>127.00000000000001</v>
      </c>
      <c r="B70" s="54">
        <f t="shared" si="22"/>
        <v>22.857142857142914</v>
      </c>
      <c r="C70" s="10">
        <f t="shared" si="13"/>
        <v>311.515308</v>
      </c>
      <c r="E70" s="46">
        <f t="shared" si="2"/>
        <v>127.00000000000001</v>
      </c>
      <c r="G70" s="2">
        <f t="shared" si="14"/>
        <v>962.2065406515961</v>
      </c>
      <c r="I70" s="2">
        <f t="shared" si="15"/>
        <v>390</v>
      </c>
      <c r="J70" s="13">
        <f t="shared" si="16"/>
        <v>-5.60050693952672</v>
      </c>
      <c r="K70" s="10">
        <f t="shared" si="17"/>
        <v>293.72878032725885</v>
      </c>
      <c r="L70" s="13">
        <f t="shared" si="1"/>
        <v>5.84530535856461</v>
      </c>
      <c r="M70" s="10">
        <f t="shared" si="12"/>
        <v>-8.05469464143539</v>
      </c>
      <c r="N70" s="10">
        <f t="shared" si="18"/>
        <v>281.2410825157799</v>
      </c>
      <c r="P70" s="13">
        <f t="shared" si="19"/>
        <v>0.2447984190378897</v>
      </c>
      <c r="Q70" s="13">
        <f t="shared" si="20"/>
        <v>0</v>
      </c>
    </row>
    <row r="71" spans="1:17" ht="12.75">
      <c r="A71" s="46">
        <f t="shared" si="21"/>
        <v>127.20000000000002</v>
      </c>
      <c r="B71" s="54">
        <f t="shared" si="22"/>
        <v>23.428571428571498</v>
      </c>
      <c r="C71" s="10">
        <f t="shared" si="13"/>
        <v>311.515308</v>
      </c>
      <c r="E71" s="46">
        <f t="shared" si="2"/>
        <v>127.20000000000002</v>
      </c>
      <c r="G71" s="2">
        <f t="shared" si="14"/>
        <v>962.2065406515961</v>
      </c>
      <c r="I71" s="2">
        <f t="shared" si="15"/>
        <v>405</v>
      </c>
      <c r="J71" s="13">
        <f t="shared" si="16"/>
        <v>-5.724470026079745</v>
      </c>
      <c r="K71" s="10">
        <f t="shared" si="17"/>
        <v>293.6414730802763</v>
      </c>
      <c r="L71" s="13">
        <f t="shared" si="1"/>
        <v>5.985983754137673</v>
      </c>
      <c r="M71" s="10">
        <f t="shared" si="12"/>
        <v>-7.864016245862326</v>
      </c>
      <c r="N71" s="10">
        <f t="shared" si="18"/>
        <v>280.8532350600731</v>
      </c>
      <c r="P71" s="13">
        <f t="shared" si="19"/>
        <v>0.26151372805792816</v>
      </c>
      <c r="Q71" s="13">
        <f t="shared" si="20"/>
        <v>0</v>
      </c>
    </row>
    <row r="72" spans="1:17" ht="12.75">
      <c r="A72" s="46">
        <f t="shared" si="21"/>
        <v>127.40000000000002</v>
      </c>
      <c r="B72" s="54">
        <f t="shared" si="22"/>
        <v>24.00000000000008</v>
      </c>
      <c r="C72" s="10">
        <f t="shared" si="13"/>
        <v>311.515308</v>
      </c>
      <c r="E72" s="46">
        <f t="shared" si="2"/>
        <v>127.40000000000002</v>
      </c>
      <c r="G72" s="2">
        <f t="shared" si="14"/>
        <v>962.2065406515961</v>
      </c>
      <c r="I72" s="2">
        <f t="shared" si="15"/>
        <v>420</v>
      </c>
      <c r="J72" s="13">
        <f t="shared" si="16"/>
        <v>-5.842873743620066</v>
      </c>
      <c r="K72" s="10">
        <f t="shared" si="17"/>
        <v>293.55223335183604</v>
      </c>
      <c r="L72" s="13">
        <f t="shared" si="1"/>
        <v>6.121459863322847</v>
      </c>
      <c r="M72" s="10">
        <f t="shared" si="12"/>
        <v>-7.728540136677153</v>
      </c>
      <c r="N72" s="10">
        <f t="shared" si="18"/>
        <v>280.4745690983736</v>
      </c>
      <c r="P72" s="13">
        <f t="shared" si="19"/>
        <v>0.2785861197027805</v>
      </c>
      <c r="Q72" s="13">
        <f t="shared" si="20"/>
        <v>0</v>
      </c>
    </row>
    <row r="73" spans="1:17" ht="12.75">
      <c r="A73" s="46">
        <f t="shared" si="21"/>
        <v>127.60000000000002</v>
      </c>
      <c r="B73" s="54">
        <f t="shared" si="22"/>
        <v>24.571428571428665</v>
      </c>
      <c r="C73" s="10">
        <f t="shared" si="13"/>
        <v>311.515308</v>
      </c>
      <c r="E73" s="46">
        <f t="shared" si="2"/>
        <v>127.60000000000002</v>
      </c>
      <c r="G73" s="2">
        <f t="shared" si="14"/>
        <v>962.2065406515961</v>
      </c>
      <c r="I73" s="2">
        <f t="shared" si="15"/>
        <v>435</v>
      </c>
      <c r="J73" s="13">
        <f t="shared" si="16"/>
        <v>-5.957020269060683</v>
      </c>
      <c r="K73" s="10">
        <f t="shared" si="17"/>
        <v>293.46114780787894</v>
      </c>
      <c r="L73" s="13">
        <f t="shared" si="1"/>
        <v>6.253018463349151</v>
      </c>
      <c r="M73" s="10">
        <f t="shared" si="12"/>
        <v>-7.596981536650849</v>
      </c>
      <c r="N73" s="10">
        <f t="shared" si="18"/>
        <v>280.1024265452694</v>
      </c>
      <c r="P73" s="13">
        <f t="shared" si="19"/>
        <v>0.29599819428846835</v>
      </c>
      <c r="Q73" s="13">
        <f t="shared" si="20"/>
        <v>0</v>
      </c>
    </row>
    <row r="74" spans="1:17" ht="12.75">
      <c r="A74" s="46">
        <f t="shared" si="21"/>
        <v>127.80000000000003</v>
      </c>
      <c r="B74" s="54">
        <f t="shared" si="22"/>
        <v>25.142857142857245</v>
      </c>
      <c r="C74" s="10">
        <f t="shared" si="13"/>
        <v>311.515308</v>
      </c>
      <c r="E74" s="46">
        <f t="shared" si="2"/>
        <v>127.80000000000003</v>
      </c>
      <c r="G74" s="2">
        <f t="shared" si="14"/>
        <v>962.2065406515961</v>
      </c>
      <c r="I74" s="2">
        <f t="shared" si="15"/>
        <v>450</v>
      </c>
      <c r="J74" s="13">
        <f t="shared" si="16"/>
        <v>-6.067042452844699</v>
      </c>
      <c r="K74" s="10">
        <f t="shared" si="17"/>
        <v>293.3682828144905</v>
      </c>
      <c r="L74" s="13">
        <f t="shared" si="1"/>
        <v>6.3807789163475395</v>
      </c>
      <c r="M74" s="10">
        <f t="shared" si="12"/>
        <v>-7.419221083652461</v>
      </c>
      <c r="N74" s="10">
        <f t="shared" si="18"/>
        <v>279.73661876592985</v>
      </c>
      <c r="P74" s="13">
        <f t="shared" si="19"/>
        <v>0.3137364635028405</v>
      </c>
      <c r="Q74" s="13">
        <f t="shared" si="20"/>
        <v>0</v>
      </c>
    </row>
    <row r="75" spans="1:17" ht="12.75">
      <c r="A75" s="46">
        <f t="shared" si="21"/>
        <v>128.00000000000003</v>
      </c>
      <c r="B75" s="54">
        <f t="shared" si="22"/>
        <v>25.71428571428583</v>
      </c>
      <c r="C75" s="10">
        <f t="shared" si="13"/>
        <v>311.515308</v>
      </c>
      <c r="E75" s="46">
        <f t="shared" si="2"/>
        <v>128.00000000000003</v>
      </c>
      <c r="G75" s="2">
        <f t="shared" si="14"/>
        <v>962.2065406515961</v>
      </c>
      <c r="I75" s="2">
        <f t="shared" si="15"/>
        <v>465</v>
      </c>
      <c r="J75" s="13">
        <f t="shared" si="16"/>
        <v>-6.171942109871343</v>
      </c>
      <c r="K75" s="10">
        <f t="shared" si="17"/>
        <v>293.2737026667282</v>
      </c>
      <c r="L75" s="13">
        <f t="shared" si="1"/>
        <v>6.503729969408185</v>
      </c>
      <c r="M75" s="10">
        <f t="shared" si="12"/>
        <v>-7.296270030591816</v>
      </c>
      <c r="N75" s="10">
        <f t="shared" si="18"/>
        <v>279.37937045935615</v>
      </c>
      <c r="P75" s="13">
        <f t="shared" si="19"/>
        <v>0.33178785953684214</v>
      </c>
      <c r="Q75" s="13">
        <f t="shared" si="20"/>
        <v>0</v>
      </c>
    </row>
    <row r="76" spans="1:17" ht="12.75">
      <c r="A76" s="46">
        <f t="shared" si="21"/>
        <v>128.20000000000002</v>
      </c>
      <c r="B76" s="54">
        <f t="shared" si="22"/>
        <v>26.285714285714374</v>
      </c>
      <c r="C76" s="10">
        <f t="shared" si="13"/>
        <v>311.515308</v>
      </c>
      <c r="E76" s="46">
        <f t="shared" si="2"/>
        <v>128.20000000000002</v>
      </c>
      <c r="G76" s="2">
        <f t="shared" si="14"/>
        <v>962.2065406515961</v>
      </c>
      <c r="I76" s="2">
        <f t="shared" si="15"/>
        <v>480</v>
      </c>
      <c r="J76" s="13">
        <f t="shared" si="16"/>
        <v>-6.273007982513346</v>
      </c>
      <c r="K76" s="10">
        <f t="shared" si="17"/>
        <v>293.17748722052534</v>
      </c>
      <c r="L76" s="13">
        <f t="shared" si="1"/>
        <v>6.623144356787589</v>
      </c>
      <c r="M76" s="10">
        <f t="shared" si="12"/>
        <v>-7.176855643212412</v>
      </c>
      <c r="N76" s="10">
        <f t="shared" si="18"/>
        <v>279.0280424582973</v>
      </c>
      <c r="P76" s="13">
        <f t="shared" si="19"/>
        <v>0.35013637427424277</v>
      </c>
      <c r="Q76" s="13">
        <f t="shared" si="20"/>
        <v>0</v>
      </c>
    </row>
    <row r="77" spans="1:17" ht="12.75">
      <c r="A77" s="46">
        <f t="shared" si="21"/>
        <v>128.4</v>
      </c>
      <c r="B77" s="54">
        <f t="shared" si="22"/>
        <v>26.857142857142914</v>
      </c>
      <c r="C77" s="10">
        <f t="shared" si="13"/>
        <v>311.515308</v>
      </c>
      <c r="E77" s="46">
        <f t="shared" si="2"/>
        <v>128.4</v>
      </c>
      <c r="G77" s="2">
        <f t="shared" si="14"/>
        <v>962.2065406515961</v>
      </c>
      <c r="I77" s="2">
        <f t="shared" si="15"/>
        <v>495</v>
      </c>
      <c r="J77" s="13">
        <f t="shared" si="16"/>
        <v>-6.370359903360988</v>
      </c>
      <c r="K77" s="10">
        <f t="shared" si="17"/>
        <v>293.07969624139315</v>
      </c>
      <c r="L77" s="13">
        <f t="shared" si="1"/>
        <v>6.739129767114654</v>
      </c>
      <c r="M77" s="10">
        <f t="shared" si="12"/>
        <v>-7.010870232885346</v>
      </c>
      <c r="N77" s="10">
        <f t="shared" si="18"/>
        <v>278.68246446619366</v>
      </c>
      <c r="P77" s="13">
        <f t="shared" si="19"/>
        <v>0.36876986375366516</v>
      </c>
      <c r="Q77" s="13">
        <f t="shared" si="20"/>
        <v>0</v>
      </c>
    </row>
    <row r="78" spans="1:17" ht="12.75">
      <c r="A78" s="46">
        <f t="shared" si="21"/>
        <v>128.6</v>
      </c>
      <c r="B78" s="54">
        <f t="shared" si="22"/>
        <v>27.42857142857146</v>
      </c>
      <c r="C78" s="10">
        <f>C65</f>
        <v>311.515308</v>
      </c>
      <c r="E78" s="46">
        <f t="shared" si="2"/>
        <v>128.6</v>
      </c>
      <c r="G78" s="2">
        <f>G65</f>
        <v>962.2065406515961</v>
      </c>
      <c r="I78" s="2">
        <f>I65+I$41</f>
        <v>330</v>
      </c>
      <c r="J78" s="13">
        <f t="shared" si="0"/>
        <v>-5.053794745244677</v>
      </c>
      <c r="K78" s="10">
        <f>MAX(D$8,K65+J65*I$41/VLOOKUP(K65,E$44:G$251,3,TRUE))</f>
        <v>294.05711178365436</v>
      </c>
      <c r="L78" s="13">
        <f t="shared" si="1"/>
        <v>5.235620989242454</v>
      </c>
      <c r="M78" s="10">
        <f t="shared" si="12"/>
        <v>-8.714379010757545</v>
      </c>
      <c r="N78" s="10">
        <f>N65+M65*I$41/VLOOKUP(N65,A$44:C$251,3,TRUE)</f>
        <v>282.8719214884546</v>
      </c>
      <c r="P78" s="13">
        <f t="shared" si="5"/>
        <v>0.18182624399777658</v>
      </c>
      <c r="Q78" s="13">
        <f t="shared" si="6"/>
        <v>0</v>
      </c>
    </row>
    <row r="79" spans="1:17" ht="12.75">
      <c r="A79" s="14">
        <f t="shared" si="21"/>
        <v>128.79999999999998</v>
      </c>
      <c r="B79" s="25">
        <v>28</v>
      </c>
      <c r="C79" s="10">
        <f t="shared" si="9"/>
        <v>311.515308</v>
      </c>
      <c r="E79" s="46">
        <f t="shared" si="2"/>
        <v>128.79999999999998</v>
      </c>
      <c r="G79" s="2">
        <f t="shared" si="10"/>
        <v>962.2065406515961</v>
      </c>
      <c r="I79" s="2">
        <f t="shared" si="11"/>
        <v>345</v>
      </c>
      <c r="J79" s="13">
        <f t="shared" si="0"/>
        <v>-5.198204673142735</v>
      </c>
      <c r="K79" s="10">
        <f aca="true" t="shared" si="23" ref="K79:K142">MAX(D$8,K78+J78*I$41/VLOOKUP(K78,E$44:G$251,3,TRUE))</f>
        <v>293.97832732524967</v>
      </c>
      <c r="L79" s="13">
        <f t="shared" si="1"/>
        <v>5.395157471242234</v>
      </c>
      <c r="M79" s="10">
        <f t="shared" si="12"/>
        <v>-8.554842528757765</v>
      </c>
      <c r="N79" s="10">
        <f aca="true" t="shared" si="24" ref="N79:N142">N78+M78*I$41/VLOOKUP(N78,A$44:C$251,3,TRUE)</f>
        <v>282.45230909123217</v>
      </c>
      <c r="P79" s="13">
        <f t="shared" si="5"/>
        <v>0.1969527980994989</v>
      </c>
      <c r="Q79" s="13">
        <f t="shared" si="6"/>
        <v>0</v>
      </c>
    </row>
    <row r="80" spans="1:17" ht="12.75">
      <c r="A80" s="14">
        <v>129</v>
      </c>
      <c r="B80" s="14">
        <v>29.5</v>
      </c>
      <c r="C80" s="10">
        <f t="shared" si="9"/>
        <v>311.515308</v>
      </c>
      <c r="E80" s="46">
        <v>129</v>
      </c>
      <c r="G80" s="2">
        <f t="shared" si="10"/>
        <v>962.2065406515961</v>
      </c>
      <c r="I80" s="2">
        <f t="shared" si="11"/>
        <v>360</v>
      </c>
      <c r="J80" s="13">
        <f t="shared" si="0"/>
        <v>-5.337543416486201</v>
      </c>
      <c r="K80" s="10">
        <f t="shared" si="23"/>
        <v>293.89729163613003</v>
      </c>
      <c r="L80" s="13">
        <f t="shared" si="1"/>
        <v>5.550044375970036</v>
      </c>
      <c r="M80" s="10">
        <f t="shared" si="12"/>
        <v>-8.399955624029964</v>
      </c>
      <c r="N80" s="10">
        <f t="shared" si="24"/>
        <v>282.04037865110314</v>
      </c>
      <c r="P80" s="13">
        <f t="shared" si="5"/>
        <v>0.21250095948383535</v>
      </c>
      <c r="Q80" s="13">
        <f t="shared" si="6"/>
        <v>0</v>
      </c>
    </row>
    <row r="81" spans="1:17" ht="12.75">
      <c r="A81" s="14">
        <f t="shared" si="7"/>
        <v>130</v>
      </c>
      <c r="B81" s="14">
        <v>30</v>
      </c>
      <c r="C81" s="10">
        <f t="shared" si="9"/>
        <v>311.515308</v>
      </c>
      <c r="E81" s="46">
        <f aca="true" t="shared" si="25" ref="E81:E121">E80+1</f>
        <v>130</v>
      </c>
      <c r="G81" s="2">
        <f t="shared" si="10"/>
        <v>962.2065406515961</v>
      </c>
      <c r="I81" s="2">
        <f t="shared" si="11"/>
        <v>375</v>
      </c>
      <c r="J81" s="13">
        <f t="shared" si="0"/>
        <v>-5.471968821489899</v>
      </c>
      <c r="K81" s="10">
        <f t="shared" si="23"/>
        <v>293.81408377184647</v>
      </c>
      <c r="L81" s="13">
        <f t="shared" si="1"/>
        <v>5.700423505467547</v>
      </c>
      <c r="M81" s="10">
        <f t="shared" si="12"/>
        <v>-8.199576494532455</v>
      </c>
      <c r="N81" s="10">
        <f t="shared" si="24"/>
        <v>281.6359062828931</v>
      </c>
      <c r="P81" s="13">
        <f t="shared" si="5"/>
        <v>0.22845468397764757</v>
      </c>
      <c r="Q81" s="13">
        <f t="shared" si="6"/>
        <v>0</v>
      </c>
    </row>
    <row r="82" spans="1:17" ht="12.75">
      <c r="A82" s="14">
        <f t="shared" si="7"/>
        <v>131</v>
      </c>
      <c r="B82" s="25">
        <v>30</v>
      </c>
      <c r="C82" s="10">
        <f t="shared" si="9"/>
        <v>311.515308</v>
      </c>
      <c r="E82" s="46">
        <f t="shared" si="25"/>
        <v>131</v>
      </c>
      <c r="G82" s="2">
        <f t="shared" si="10"/>
        <v>962.2065406515961</v>
      </c>
      <c r="I82" s="2">
        <f t="shared" si="11"/>
        <v>390</v>
      </c>
      <c r="J82" s="13">
        <f t="shared" si="0"/>
        <v>-5.60050693952672</v>
      </c>
      <c r="K82" s="10">
        <f t="shared" si="23"/>
        <v>293.72878032725885</v>
      </c>
      <c r="L82" s="13">
        <f t="shared" si="1"/>
        <v>5.84530535856461</v>
      </c>
      <c r="M82" s="10">
        <f t="shared" si="12"/>
        <v>-8.05469464143539</v>
      </c>
      <c r="N82" s="10">
        <f t="shared" si="24"/>
        <v>281.2410825157799</v>
      </c>
      <c r="P82" s="13">
        <f t="shared" si="5"/>
        <v>0.2447984190378897</v>
      </c>
      <c r="Q82" s="13">
        <f t="shared" si="6"/>
        <v>0</v>
      </c>
    </row>
    <row r="83" spans="1:17" ht="12.75">
      <c r="A83" s="14">
        <f t="shared" si="7"/>
        <v>132</v>
      </c>
      <c r="B83" s="25">
        <v>29.8</v>
      </c>
      <c r="C83" s="10">
        <f t="shared" si="9"/>
        <v>311.515308</v>
      </c>
      <c r="E83" s="46">
        <f t="shared" si="25"/>
        <v>132</v>
      </c>
      <c r="G83" s="2">
        <f t="shared" si="10"/>
        <v>962.2065406515961</v>
      </c>
      <c r="I83" s="2">
        <f t="shared" si="11"/>
        <v>405</v>
      </c>
      <c r="J83" s="13">
        <f t="shared" si="0"/>
        <v>-5.724470026079745</v>
      </c>
      <c r="K83" s="10">
        <f t="shared" si="23"/>
        <v>293.6414730802763</v>
      </c>
      <c r="L83" s="13">
        <f t="shared" si="1"/>
        <v>5.985983754137673</v>
      </c>
      <c r="M83" s="10">
        <f t="shared" si="12"/>
        <v>-7.864016245862326</v>
      </c>
      <c r="N83" s="10">
        <f t="shared" si="24"/>
        <v>280.8532350600731</v>
      </c>
      <c r="P83" s="13">
        <f t="shared" si="5"/>
        <v>0.26151372805792816</v>
      </c>
      <c r="Q83" s="13">
        <f t="shared" si="6"/>
        <v>0</v>
      </c>
    </row>
    <row r="84" spans="1:17" ht="12.75">
      <c r="A84" s="14">
        <f t="shared" si="7"/>
        <v>133</v>
      </c>
      <c r="B84" s="14">
        <v>29.5</v>
      </c>
      <c r="C84" s="10">
        <f t="shared" si="9"/>
        <v>311.515308</v>
      </c>
      <c r="E84" s="46">
        <f t="shared" si="25"/>
        <v>133</v>
      </c>
      <c r="G84" s="2">
        <f t="shared" si="10"/>
        <v>962.2065406515961</v>
      </c>
      <c r="I84" s="2">
        <f t="shared" si="11"/>
        <v>420</v>
      </c>
      <c r="J84" s="13">
        <f t="shared" si="0"/>
        <v>-5.842873743620066</v>
      </c>
      <c r="K84" s="10">
        <f t="shared" si="23"/>
        <v>293.55223335183604</v>
      </c>
      <c r="L84" s="13">
        <f t="shared" si="1"/>
        <v>6.121459863322847</v>
      </c>
      <c r="M84" s="10">
        <f t="shared" si="12"/>
        <v>-7.728540136677153</v>
      </c>
      <c r="N84" s="10">
        <f t="shared" si="24"/>
        <v>280.4745690983736</v>
      </c>
      <c r="P84" s="13">
        <f t="shared" si="5"/>
        <v>0.2785861197027805</v>
      </c>
      <c r="Q84" s="13">
        <f t="shared" si="6"/>
        <v>0</v>
      </c>
    </row>
    <row r="85" spans="1:17" ht="12.75">
      <c r="A85">
        <f t="shared" si="7"/>
        <v>134</v>
      </c>
      <c r="B85" s="10">
        <f>(A85-A$84)/(A$99-A$84)*(B$99-B$84)+B$84</f>
        <v>29.2</v>
      </c>
      <c r="C85" s="10">
        <f t="shared" si="9"/>
        <v>311.515308</v>
      </c>
      <c r="E85">
        <f t="shared" si="25"/>
        <v>134</v>
      </c>
      <c r="G85" s="2">
        <f t="shared" si="10"/>
        <v>962.2065406515961</v>
      </c>
      <c r="I85" s="2">
        <f t="shared" si="11"/>
        <v>435</v>
      </c>
      <c r="J85" s="13">
        <f t="shared" si="0"/>
        <v>-5.957020269060683</v>
      </c>
      <c r="K85" s="10">
        <f t="shared" si="23"/>
        <v>293.46114780787894</v>
      </c>
      <c r="L85" s="13">
        <f t="shared" si="1"/>
        <v>6.253018463349151</v>
      </c>
      <c r="M85" s="10">
        <f t="shared" si="12"/>
        <v>-7.596981536650849</v>
      </c>
      <c r="N85" s="10">
        <f t="shared" si="24"/>
        <v>280.1024265452694</v>
      </c>
      <c r="P85" s="13">
        <f t="shared" si="5"/>
        <v>0.29599819428846835</v>
      </c>
      <c r="Q85" s="13">
        <f t="shared" si="6"/>
        <v>0</v>
      </c>
    </row>
    <row r="86" spans="1:17" ht="12.75">
      <c r="A86">
        <f t="shared" si="7"/>
        <v>135</v>
      </c>
      <c r="B86" s="10">
        <f aca="true" t="shared" si="26" ref="B86:B98">(A86-A$84)/(A$99-A$84)*(B$99-B$84)+B$84</f>
        <v>28.9</v>
      </c>
      <c r="C86" s="10">
        <f t="shared" si="9"/>
        <v>311.515308</v>
      </c>
      <c r="E86">
        <f t="shared" si="25"/>
        <v>135</v>
      </c>
      <c r="G86" s="2">
        <f t="shared" si="10"/>
        <v>962.2065406515961</v>
      </c>
      <c r="I86" s="2">
        <f t="shared" si="11"/>
        <v>450</v>
      </c>
      <c r="J86" s="13">
        <f t="shared" si="0"/>
        <v>-6.067042452844699</v>
      </c>
      <c r="K86" s="10">
        <f t="shared" si="23"/>
        <v>293.3682828144905</v>
      </c>
      <c r="L86" s="13">
        <f t="shared" si="1"/>
        <v>6.3807789163475395</v>
      </c>
      <c r="M86" s="10">
        <f t="shared" si="12"/>
        <v>-7.419221083652461</v>
      </c>
      <c r="N86" s="10">
        <f t="shared" si="24"/>
        <v>279.73661876592985</v>
      </c>
      <c r="P86" s="13">
        <f t="shared" si="5"/>
        <v>0.3137364635028405</v>
      </c>
      <c r="Q86" s="13">
        <f t="shared" si="6"/>
        <v>0</v>
      </c>
    </row>
    <row r="87" spans="1:17" ht="12.75">
      <c r="A87">
        <f t="shared" si="7"/>
        <v>136</v>
      </c>
      <c r="B87" s="10">
        <f t="shared" si="26"/>
        <v>28.6</v>
      </c>
      <c r="C87" s="10">
        <f t="shared" si="9"/>
        <v>311.515308</v>
      </c>
      <c r="E87">
        <f t="shared" si="25"/>
        <v>136</v>
      </c>
      <c r="G87" s="2">
        <f t="shared" si="10"/>
        <v>962.2065406515961</v>
      </c>
      <c r="I87" s="2">
        <f t="shared" si="11"/>
        <v>465</v>
      </c>
      <c r="J87" s="13">
        <f t="shared" si="0"/>
        <v>-6.171942109871343</v>
      </c>
      <c r="K87" s="10">
        <f t="shared" si="23"/>
        <v>293.2737026667282</v>
      </c>
      <c r="L87" s="13">
        <f t="shared" si="1"/>
        <v>6.503729969408185</v>
      </c>
      <c r="M87" s="10">
        <f t="shared" si="12"/>
        <v>-7.296270030591816</v>
      </c>
      <c r="N87" s="10">
        <f t="shared" si="24"/>
        <v>279.37937045935615</v>
      </c>
      <c r="P87" s="13">
        <f t="shared" si="5"/>
        <v>0.33178785953684214</v>
      </c>
      <c r="Q87" s="13">
        <f t="shared" si="6"/>
        <v>0</v>
      </c>
    </row>
    <row r="88" spans="1:17" ht="12.75">
      <c r="A88">
        <f t="shared" si="7"/>
        <v>137</v>
      </c>
      <c r="B88" s="10">
        <f t="shared" si="26"/>
        <v>28.3</v>
      </c>
      <c r="C88" s="10">
        <f t="shared" si="9"/>
        <v>311.515308</v>
      </c>
      <c r="E88">
        <f t="shared" si="25"/>
        <v>137</v>
      </c>
      <c r="G88" s="2">
        <f t="shared" si="10"/>
        <v>962.2065406515961</v>
      </c>
      <c r="I88" s="2">
        <f t="shared" si="11"/>
        <v>480</v>
      </c>
      <c r="J88" s="13">
        <f t="shared" si="0"/>
        <v>-6.273007982513346</v>
      </c>
      <c r="K88" s="10">
        <f t="shared" si="23"/>
        <v>293.17748722052534</v>
      </c>
      <c r="L88" s="13">
        <f t="shared" si="1"/>
        <v>6.623144356787589</v>
      </c>
      <c r="M88" s="10">
        <f t="shared" si="12"/>
        <v>-7.176855643212412</v>
      </c>
      <c r="N88" s="10">
        <f t="shared" si="24"/>
        <v>279.0280424582973</v>
      </c>
      <c r="P88" s="13">
        <f t="shared" si="5"/>
        <v>0.35013637427424277</v>
      </c>
      <c r="Q88" s="13">
        <f t="shared" si="6"/>
        <v>0</v>
      </c>
    </row>
    <row r="89" spans="1:17" ht="12.75">
      <c r="A89">
        <f t="shared" si="7"/>
        <v>138</v>
      </c>
      <c r="B89" s="10">
        <f t="shared" si="26"/>
        <v>28</v>
      </c>
      <c r="C89" s="10">
        <f t="shared" si="9"/>
        <v>311.515308</v>
      </c>
      <c r="E89">
        <f t="shared" si="25"/>
        <v>138</v>
      </c>
      <c r="G89" s="2">
        <f t="shared" si="10"/>
        <v>962.2065406515961</v>
      </c>
      <c r="I89" s="2">
        <f t="shared" si="11"/>
        <v>495</v>
      </c>
      <c r="J89" s="13">
        <f t="shared" si="0"/>
        <v>-6.370359903360988</v>
      </c>
      <c r="K89" s="10">
        <f t="shared" si="23"/>
        <v>293.07969624139315</v>
      </c>
      <c r="L89" s="13">
        <f t="shared" si="1"/>
        <v>6.739129767114654</v>
      </c>
      <c r="M89" s="10">
        <f t="shared" si="12"/>
        <v>-7.010870232885346</v>
      </c>
      <c r="N89" s="10">
        <f t="shared" si="24"/>
        <v>278.68246446619366</v>
      </c>
      <c r="P89" s="13">
        <f t="shared" si="5"/>
        <v>0.36876986375366516</v>
      </c>
      <c r="Q89" s="13">
        <f t="shared" si="6"/>
        <v>0</v>
      </c>
    </row>
    <row r="90" spans="1:17" ht="12.75">
      <c r="A90">
        <f t="shared" si="7"/>
        <v>139</v>
      </c>
      <c r="B90" s="10">
        <f t="shared" si="26"/>
        <v>27.7</v>
      </c>
      <c r="C90" s="10">
        <f t="shared" si="9"/>
        <v>311.515308</v>
      </c>
      <c r="E90">
        <f t="shared" si="25"/>
        <v>139</v>
      </c>
      <c r="G90" s="2">
        <f t="shared" si="10"/>
        <v>962.2065406515961</v>
      </c>
      <c r="I90" s="2">
        <f t="shared" si="11"/>
        <v>510</v>
      </c>
      <c r="J90" s="13">
        <f t="shared" si="0"/>
        <v>-6.462987065887844</v>
      </c>
      <c r="K90" s="10">
        <f t="shared" si="23"/>
        <v>292.98038762675236</v>
      </c>
      <c r="L90" s="13">
        <f t="shared" si="1"/>
        <v>6.850663632079765</v>
      </c>
      <c r="M90" s="10">
        <f t="shared" si="12"/>
        <v>-6.899336367920235</v>
      </c>
      <c r="N90" s="10">
        <f t="shared" si="24"/>
        <v>278.3448789582183</v>
      </c>
      <c r="P90" s="13">
        <f t="shared" si="5"/>
        <v>0.3876765661919216</v>
      </c>
      <c r="Q90" s="13">
        <f t="shared" si="6"/>
        <v>0</v>
      </c>
    </row>
    <row r="91" spans="1:17" ht="12.75">
      <c r="A91">
        <f t="shared" si="7"/>
        <v>140</v>
      </c>
      <c r="B91" s="10">
        <f t="shared" si="26"/>
        <v>27.4</v>
      </c>
      <c r="C91" s="10">
        <f t="shared" si="9"/>
        <v>311.515308</v>
      </c>
      <c r="E91">
        <f t="shared" si="25"/>
        <v>140</v>
      </c>
      <c r="G91" s="2">
        <f t="shared" si="10"/>
        <v>962.2065406515961</v>
      </c>
      <c r="I91" s="2">
        <f t="shared" si="11"/>
        <v>525</v>
      </c>
      <c r="J91" s="13">
        <f t="shared" si="0"/>
        <v>-6.552165967068222</v>
      </c>
      <c r="K91" s="10">
        <f t="shared" si="23"/>
        <v>292.8796350316571</v>
      </c>
      <c r="L91" s="13">
        <f t="shared" si="1"/>
        <v>6.959007717677958</v>
      </c>
      <c r="M91" s="10">
        <f t="shared" si="12"/>
        <v>-6.790992282322042</v>
      </c>
      <c r="N91" s="10">
        <f t="shared" si="24"/>
        <v>278.012663998436</v>
      </c>
      <c r="P91" s="13">
        <f t="shared" si="5"/>
        <v>0.4068417506097353</v>
      </c>
      <c r="Q91" s="13">
        <f t="shared" si="6"/>
        <v>0</v>
      </c>
    </row>
    <row r="92" spans="1:17" ht="12.75">
      <c r="A92">
        <f t="shared" si="7"/>
        <v>141</v>
      </c>
      <c r="B92" s="10">
        <f t="shared" si="26"/>
        <v>27.1</v>
      </c>
      <c r="C92" s="10">
        <f t="shared" si="9"/>
        <v>311.515308</v>
      </c>
      <c r="E92">
        <f t="shared" si="25"/>
        <v>141</v>
      </c>
      <c r="G92" s="2">
        <f t="shared" si="10"/>
        <v>962.2065406515961</v>
      </c>
      <c r="I92" s="2">
        <f t="shared" si="11"/>
        <v>540</v>
      </c>
      <c r="J92" s="13">
        <f t="shared" si="0"/>
        <v>-6.638004575675417</v>
      </c>
      <c r="K92" s="10">
        <f t="shared" si="23"/>
        <v>292.7774922116348</v>
      </c>
      <c r="L92" s="13">
        <f t="shared" si="1"/>
        <v>7.064259080846815</v>
      </c>
      <c r="M92" s="10">
        <f t="shared" si="12"/>
        <v>-6.635740919153184</v>
      </c>
      <c r="N92" s="10">
        <f t="shared" si="24"/>
        <v>277.68566599346207</v>
      </c>
      <c r="P92" s="13">
        <f t="shared" si="5"/>
        <v>0.4262545051713984</v>
      </c>
      <c r="Q92" s="13">
        <f t="shared" si="6"/>
        <v>0</v>
      </c>
    </row>
    <row r="93" spans="1:17" ht="12.75">
      <c r="A93">
        <f t="shared" si="7"/>
        <v>142</v>
      </c>
      <c r="B93" s="10">
        <f t="shared" si="26"/>
        <v>26.8</v>
      </c>
      <c r="C93" s="10">
        <f t="shared" si="9"/>
        <v>311.515308</v>
      </c>
      <c r="E93">
        <f t="shared" si="25"/>
        <v>142</v>
      </c>
      <c r="G93" s="2">
        <f t="shared" si="10"/>
        <v>962.2065406515961</v>
      </c>
      <c r="I93" s="2">
        <f t="shared" si="11"/>
        <v>555</v>
      </c>
      <c r="J93" s="13">
        <f t="shared" si="0"/>
        <v>-6.719480583244745</v>
      </c>
      <c r="K93" s="10">
        <f t="shared" si="23"/>
        <v>292.6740112390697</v>
      </c>
      <c r="L93" s="13">
        <f t="shared" si="1"/>
        <v>7.165384847785228</v>
      </c>
      <c r="M93" s="10">
        <f t="shared" si="12"/>
        <v>-6.534615152214771</v>
      </c>
      <c r="N93" s="10">
        <f t="shared" si="24"/>
        <v>277.3661436097104</v>
      </c>
      <c r="P93" s="13">
        <f t="shared" si="5"/>
        <v>0.44590426454048376</v>
      </c>
      <c r="Q93" s="13">
        <f t="shared" si="6"/>
        <v>0</v>
      </c>
    </row>
    <row r="94" spans="1:17" ht="12.75">
      <c r="A94">
        <f t="shared" si="7"/>
        <v>143</v>
      </c>
      <c r="B94" s="10">
        <f t="shared" si="26"/>
        <v>26.5</v>
      </c>
      <c r="C94" s="10">
        <f t="shared" si="9"/>
        <v>311.515308</v>
      </c>
      <c r="E94">
        <f t="shared" si="25"/>
        <v>143</v>
      </c>
      <c r="G94" s="2">
        <f t="shared" si="10"/>
        <v>962.2065406515961</v>
      </c>
      <c r="I94" s="2">
        <f t="shared" si="11"/>
        <v>570</v>
      </c>
      <c r="J94" s="13">
        <f t="shared" si="0"/>
        <v>-6.7978593269466</v>
      </c>
      <c r="K94" s="10">
        <f t="shared" si="23"/>
        <v>292.56926012328495</v>
      </c>
      <c r="L94" s="13">
        <f t="shared" si="1"/>
        <v>7.263636795203559</v>
      </c>
      <c r="M94" s="10">
        <f t="shared" si="12"/>
        <v>-6.43636320479644</v>
      </c>
      <c r="N94" s="10">
        <f t="shared" si="24"/>
        <v>277.05149060625916</v>
      </c>
      <c r="P94" s="13">
        <f t="shared" si="5"/>
        <v>0.46577746825695865</v>
      </c>
      <c r="Q94" s="13">
        <f t="shared" si="6"/>
        <v>0</v>
      </c>
    </row>
    <row r="95" spans="1:17" ht="12.75">
      <c r="A95">
        <f t="shared" si="7"/>
        <v>144</v>
      </c>
      <c r="B95" s="10">
        <f t="shared" si="26"/>
        <v>26.2</v>
      </c>
      <c r="C95" s="10">
        <f t="shared" si="9"/>
        <v>311.515308</v>
      </c>
      <c r="E95">
        <f t="shared" si="25"/>
        <v>144</v>
      </c>
      <c r="G95" s="2">
        <f t="shared" si="10"/>
        <v>962.2065406515961</v>
      </c>
      <c r="I95" s="2">
        <f t="shared" si="11"/>
        <v>585</v>
      </c>
      <c r="J95" s="13">
        <f t="shared" si="0"/>
        <v>-6.873237965150283</v>
      </c>
      <c r="K95" s="10">
        <f t="shared" si="23"/>
        <v>292.4632871480491</v>
      </c>
      <c r="L95" s="13">
        <f t="shared" si="1"/>
        <v>7.3591022973380165</v>
      </c>
      <c r="M95" s="10">
        <f t="shared" si="12"/>
        <v>-6.290897702661984</v>
      </c>
      <c r="N95" s="10">
        <f t="shared" si="24"/>
        <v>276.7415686037361</v>
      </c>
      <c r="P95" s="13">
        <f t="shared" si="5"/>
        <v>0.4858643321877337</v>
      </c>
      <c r="Q95" s="13">
        <f t="shared" si="6"/>
        <v>0</v>
      </c>
    </row>
    <row r="96" spans="1:17" ht="12.75">
      <c r="A96">
        <f t="shared" si="7"/>
        <v>145</v>
      </c>
      <c r="B96" s="10">
        <f t="shared" si="26"/>
        <v>25.9</v>
      </c>
      <c r="C96" s="10">
        <f t="shared" si="9"/>
        <v>311.515308</v>
      </c>
      <c r="E96">
        <f t="shared" si="25"/>
        <v>145</v>
      </c>
      <c r="G96" s="2">
        <f t="shared" si="10"/>
        <v>962.2065406515961</v>
      </c>
      <c r="I96" s="2">
        <f t="shared" si="11"/>
        <v>600</v>
      </c>
      <c r="J96" s="13">
        <f t="shared" si="0"/>
        <v>-6.944583709220892</v>
      </c>
      <c r="K96" s="10">
        <f t="shared" si="23"/>
        <v>292.35613908251275</v>
      </c>
      <c r="L96" s="13">
        <f t="shared" si="1"/>
        <v>7.450739094809708</v>
      </c>
      <c r="M96" s="10">
        <f t="shared" si="12"/>
        <v>-6.199260905190292</v>
      </c>
      <c r="N96" s="10">
        <f t="shared" si="24"/>
        <v>276.4386510163284</v>
      </c>
      <c r="P96" s="13">
        <f t="shared" si="5"/>
        <v>0.5061553855888159</v>
      </c>
      <c r="Q96" s="13">
        <f t="shared" si="6"/>
        <v>0</v>
      </c>
    </row>
    <row r="97" spans="1:17" ht="12.75">
      <c r="A97">
        <f t="shared" si="7"/>
        <v>146</v>
      </c>
      <c r="B97" s="10">
        <f t="shared" si="26"/>
        <v>25.6</v>
      </c>
      <c r="C97" s="10">
        <f t="shared" si="9"/>
        <v>311.515308</v>
      </c>
      <c r="E97">
        <f t="shared" si="25"/>
        <v>146</v>
      </c>
      <c r="G97" s="2">
        <f t="shared" si="10"/>
        <v>962.2065406515961</v>
      </c>
      <c r="I97" s="2">
        <f t="shared" si="11"/>
        <v>615</v>
      </c>
      <c r="J97" s="13">
        <f t="shared" si="0"/>
        <v>-7.01315172727249</v>
      </c>
      <c r="K97" s="10">
        <f t="shared" si="23"/>
        <v>292.24787879614246</v>
      </c>
      <c r="L97" s="13">
        <f t="shared" si="1"/>
        <v>7.539789866768153</v>
      </c>
      <c r="M97" s="10">
        <f t="shared" si="12"/>
        <v>-6.110210133231847</v>
      </c>
      <c r="N97" s="10">
        <f t="shared" si="24"/>
        <v>276.14014589895595</v>
      </c>
      <c r="P97" s="13">
        <f t="shared" si="5"/>
        <v>0.5266381394956635</v>
      </c>
      <c r="Q97" s="13">
        <f t="shared" si="6"/>
        <v>0</v>
      </c>
    </row>
    <row r="98" spans="1:17" ht="12.75">
      <c r="A98">
        <f t="shared" si="7"/>
        <v>147</v>
      </c>
      <c r="B98" s="10">
        <f t="shared" si="26"/>
        <v>25.3</v>
      </c>
      <c r="C98" s="10">
        <f t="shared" si="9"/>
        <v>311.515308</v>
      </c>
      <c r="E98">
        <f t="shared" si="25"/>
        <v>147</v>
      </c>
      <c r="G98" s="2">
        <f t="shared" si="10"/>
        <v>962.2065406515961</v>
      </c>
      <c r="I98" s="2">
        <f t="shared" si="11"/>
        <v>630</v>
      </c>
      <c r="J98" s="13">
        <f t="shared" si="0"/>
        <v>-7.079029328536071</v>
      </c>
      <c r="K98" s="10">
        <f t="shared" si="23"/>
        <v>292.1385495913775</v>
      </c>
      <c r="L98" s="13">
        <f t="shared" si="1"/>
        <v>7.626333169143819</v>
      </c>
      <c r="M98" s="10">
        <f t="shared" si="12"/>
        <v>-5.973666830856181</v>
      </c>
      <c r="N98" s="10">
        <f t="shared" si="24"/>
        <v>275.8459287300248</v>
      </c>
      <c r="P98" s="13">
        <f t="shared" si="5"/>
        <v>0.5473038406077484</v>
      </c>
      <c r="Q98" s="13">
        <f t="shared" si="6"/>
        <v>0</v>
      </c>
    </row>
    <row r="99" spans="1:17" ht="12.75">
      <c r="A99" s="14">
        <f t="shared" si="7"/>
        <v>148</v>
      </c>
      <c r="B99" s="14">
        <v>25</v>
      </c>
      <c r="C99" s="10">
        <f t="shared" si="9"/>
        <v>311.515308</v>
      </c>
      <c r="E99" s="14">
        <f t="shared" si="25"/>
        <v>148</v>
      </c>
      <c r="G99" s="2">
        <f t="shared" si="10"/>
        <v>962.2065406515961</v>
      </c>
      <c r="I99" s="2">
        <f t="shared" si="11"/>
        <v>645</v>
      </c>
      <c r="J99" s="13">
        <f t="shared" si="0"/>
        <v>-7.1411741765056735</v>
      </c>
      <c r="K99" s="10">
        <f t="shared" si="23"/>
        <v>292.0281934095788</v>
      </c>
      <c r="L99" s="13">
        <f t="shared" si="1"/>
        <v>7.709318194878468</v>
      </c>
      <c r="M99" s="10">
        <f t="shared" si="12"/>
        <v>-5.890681805121532</v>
      </c>
      <c r="N99" s="10">
        <f t="shared" si="24"/>
        <v>275.5582863568839</v>
      </c>
      <c r="P99" s="13">
        <f t="shared" si="5"/>
        <v>0.568144018372794</v>
      </c>
      <c r="Q99" s="13">
        <f t="shared" si="6"/>
        <v>0</v>
      </c>
    </row>
    <row r="100" spans="1:17" ht="12.75">
      <c r="A100">
        <f t="shared" si="7"/>
        <v>149</v>
      </c>
      <c r="B100" s="10">
        <f>(A100-A$99)/(A$114-A$99)*(B$114-B$99)+B$99</f>
        <v>24.833333333333332</v>
      </c>
      <c r="C100" s="10">
        <f t="shared" si="9"/>
        <v>311.515308</v>
      </c>
      <c r="E100">
        <f t="shared" si="25"/>
        <v>149</v>
      </c>
      <c r="G100" s="2">
        <f t="shared" si="10"/>
        <v>962.2065406515961</v>
      </c>
      <c r="I100" s="2">
        <f t="shared" si="11"/>
        <v>660</v>
      </c>
      <c r="J100" s="13">
        <f t="shared" si="0"/>
        <v>-7.200832174165173</v>
      </c>
      <c r="K100" s="10">
        <f t="shared" si="23"/>
        <v>291.9168684412669</v>
      </c>
      <c r="L100" s="13">
        <f t="shared" si="1"/>
        <v>7.789979337770767</v>
      </c>
      <c r="M100" s="10">
        <f t="shared" si="12"/>
        <v>-5.810020662229233</v>
      </c>
      <c r="N100" s="10">
        <f t="shared" si="24"/>
        <v>275.27463985602935</v>
      </c>
      <c r="P100" s="13">
        <f t="shared" si="5"/>
        <v>0.5891471636055939</v>
      </c>
      <c r="Q100" s="13">
        <f t="shared" si="6"/>
        <v>0</v>
      </c>
    </row>
    <row r="101" spans="1:17" ht="12.75">
      <c r="A101">
        <f t="shared" si="7"/>
        <v>150</v>
      </c>
      <c r="B101" s="10">
        <f aca="true" t="shared" si="27" ref="B101:B113">(A101-A$99)/(A$114-A$99)*(B$114-B$99)+B$99</f>
        <v>24.666666666666668</v>
      </c>
      <c r="C101" s="10">
        <f t="shared" si="9"/>
        <v>311.515308</v>
      </c>
      <c r="E101">
        <f t="shared" si="25"/>
        <v>150</v>
      </c>
      <c r="G101" s="2">
        <f t="shared" si="10"/>
        <v>962.2065406515961</v>
      </c>
      <c r="I101" s="2">
        <f t="shared" si="11"/>
        <v>675</v>
      </c>
      <c r="J101" s="13">
        <f t="shared" si="0"/>
        <v>-7.25808165854029</v>
      </c>
      <c r="K101" s="10">
        <f t="shared" si="23"/>
        <v>291.8046134543705</v>
      </c>
      <c r="L101" s="13">
        <f t="shared" si="1"/>
        <v>7.868387122752804</v>
      </c>
      <c r="M101" s="10">
        <f t="shared" si="12"/>
        <v>-5.681612877247197</v>
      </c>
      <c r="N101" s="10">
        <f t="shared" si="24"/>
        <v>274.9948773284895</v>
      </c>
      <c r="P101" s="13">
        <f t="shared" si="5"/>
        <v>0.6103054642125145</v>
      </c>
      <c r="Q101" s="13">
        <f t="shared" si="6"/>
        <v>0</v>
      </c>
    </row>
    <row r="102" spans="1:17" ht="12.75">
      <c r="A102">
        <f t="shared" si="7"/>
        <v>151</v>
      </c>
      <c r="B102" s="10">
        <f t="shared" si="27"/>
        <v>24.5</v>
      </c>
      <c r="C102" s="10">
        <f t="shared" si="9"/>
        <v>311.515308</v>
      </c>
      <c r="E102">
        <f t="shared" si="25"/>
        <v>151</v>
      </c>
      <c r="G102" s="2">
        <f t="shared" si="10"/>
        <v>962.2065406515961</v>
      </c>
      <c r="I102" s="2">
        <f t="shared" si="11"/>
        <v>690</v>
      </c>
      <c r="J102" s="13">
        <f t="shared" si="0"/>
        <v>-7.311871595688083</v>
      </c>
      <c r="K102" s="10">
        <f t="shared" si="23"/>
        <v>291.69146599560935</v>
      </c>
      <c r="L102" s="13">
        <f t="shared" si="1"/>
        <v>7.943482958250319</v>
      </c>
      <c r="M102" s="10">
        <f t="shared" si="12"/>
        <v>-5.606517041749682</v>
      </c>
      <c r="N102" s="10">
        <f t="shared" si="24"/>
        <v>274.7212978575291</v>
      </c>
      <c r="P102" s="13">
        <f t="shared" si="5"/>
        <v>0.6316113625622354</v>
      </c>
      <c r="Q102" s="13">
        <f t="shared" si="6"/>
        <v>0</v>
      </c>
    </row>
    <row r="103" spans="1:17" ht="12.75">
      <c r="A103">
        <f t="shared" si="7"/>
        <v>152</v>
      </c>
      <c r="B103" s="10">
        <f t="shared" si="27"/>
        <v>24.333333333333332</v>
      </c>
      <c r="C103" s="10">
        <f t="shared" si="9"/>
        <v>311.515308</v>
      </c>
      <c r="E103">
        <f t="shared" si="25"/>
        <v>152</v>
      </c>
      <c r="G103" s="2">
        <f t="shared" si="10"/>
        <v>962.2065406515961</v>
      </c>
      <c r="I103" s="2">
        <f t="shared" si="11"/>
        <v>705</v>
      </c>
      <c r="J103" s="13">
        <f t="shared" si="0"/>
        <v>-7.363439447960305</v>
      </c>
      <c r="K103" s="10">
        <f t="shared" si="23"/>
        <v>291.57747999644846</v>
      </c>
      <c r="L103" s="13">
        <f t="shared" si="1"/>
        <v>8.016493692467591</v>
      </c>
      <c r="M103" s="10">
        <f t="shared" si="12"/>
        <v>-5.533506307532409</v>
      </c>
      <c r="N103" s="10">
        <f t="shared" si="24"/>
        <v>274.45133438072224</v>
      </c>
      <c r="P103" s="13">
        <f t="shared" si="5"/>
        <v>0.6530542445072861</v>
      </c>
      <c r="Q103" s="13">
        <f t="shared" si="6"/>
        <v>0</v>
      </c>
    </row>
    <row r="104" spans="1:17" ht="12.75">
      <c r="A104">
        <f t="shared" si="7"/>
        <v>153</v>
      </c>
      <c r="B104" s="10">
        <f t="shared" si="27"/>
        <v>24.166666666666668</v>
      </c>
      <c r="C104" s="10">
        <f t="shared" si="9"/>
        <v>311.515308</v>
      </c>
      <c r="E104">
        <f t="shared" si="25"/>
        <v>153</v>
      </c>
      <c r="G104" s="2">
        <f t="shared" si="10"/>
        <v>962.2065406515961</v>
      </c>
      <c r="I104" s="2">
        <f t="shared" si="11"/>
        <v>720</v>
      </c>
      <c r="J104" s="13">
        <f t="shared" si="0"/>
        <v>-7.41285537997412</v>
      </c>
      <c r="K104" s="10">
        <f t="shared" si="23"/>
        <v>291.4626900973436</v>
      </c>
      <c r="L104" s="13">
        <f t="shared" si="1"/>
        <v>8.087482536405144</v>
      </c>
      <c r="M104" s="10">
        <f t="shared" si="12"/>
        <v>-5.462517463594857</v>
      </c>
      <c r="N104" s="10">
        <f t="shared" si="24"/>
        <v>274.1848864968417</v>
      </c>
      <c r="P104" s="13">
        <f t="shared" si="5"/>
        <v>0.6746271564310238</v>
      </c>
      <c r="Q104" s="13">
        <f t="shared" si="6"/>
        <v>0</v>
      </c>
    </row>
    <row r="105" spans="1:17" ht="12.75">
      <c r="A105">
        <f t="shared" si="7"/>
        <v>154</v>
      </c>
      <c r="B105" s="10">
        <f t="shared" si="27"/>
        <v>24</v>
      </c>
      <c r="C105" s="10">
        <f t="shared" si="9"/>
        <v>311.515308</v>
      </c>
      <c r="E105">
        <f t="shared" si="25"/>
        <v>154</v>
      </c>
      <c r="G105" s="2">
        <f t="shared" si="10"/>
        <v>962.2065406515961</v>
      </c>
      <c r="I105" s="2">
        <f t="shared" si="11"/>
        <v>735</v>
      </c>
      <c r="J105" s="13">
        <f t="shared" si="0"/>
        <v>-7.4601873912248</v>
      </c>
      <c r="K105" s="10">
        <f t="shared" si="23"/>
        <v>291.34712984494263</v>
      </c>
      <c r="L105" s="13">
        <f t="shared" si="1"/>
        <v>8.156510764348809</v>
      </c>
      <c r="M105" s="10">
        <f t="shared" si="12"/>
        <v>-5.343489235651191</v>
      </c>
      <c r="N105" s="10">
        <f t="shared" si="24"/>
        <v>273.92185684837926</v>
      </c>
      <c r="P105" s="13">
        <f t="shared" si="5"/>
        <v>0.6963233731240098</v>
      </c>
      <c r="Q105" s="13">
        <f t="shared" si="6"/>
        <v>0</v>
      </c>
    </row>
    <row r="106" spans="1:17" ht="12.75">
      <c r="A106">
        <f t="shared" si="7"/>
        <v>155</v>
      </c>
      <c r="B106" s="10">
        <f t="shared" si="27"/>
        <v>23.833333333333332</v>
      </c>
      <c r="C106" s="10">
        <f t="shared" si="9"/>
        <v>311.515308</v>
      </c>
      <c r="E106">
        <f t="shared" si="25"/>
        <v>155</v>
      </c>
      <c r="G106" s="2">
        <f t="shared" si="10"/>
        <v>962.2065406515961</v>
      </c>
      <c r="I106" s="2">
        <f t="shared" si="11"/>
        <v>750</v>
      </c>
      <c r="J106" s="13">
        <f t="shared" si="0"/>
        <v>-7.50437442718048</v>
      </c>
      <c r="K106" s="10">
        <f t="shared" si="23"/>
        <v>291.23083172583756</v>
      </c>
      <c r="L106" s="13">
        <f t="shared" si="1"/>
        <v>8.222510818012804</v>
      </c>
      <c r="M106" s="10">
        <f t="shared" si="12"/>
        <v>-5.277489181987196</v>
      </c>
      <c r="N106" s="10">
        <f t="shared" si="24"/>
        <v>273.6645586146284</v>
      </c>
      <c r="P106" s="13">
        <f t="shared" si="5"/>
        <v>0.7181363908323245</v>
      </c>
      <c r="Q106" s="13">
        <f t="shared" si="6"/>
        <v>0</v>
      </c>
    </row>
    <row r="107" spans="1:17" ht="12.75">
      <c r="A107">
        <f t="shared" si="7"/>
        <v>156</v>
      </c>
      <c r="B107" s="10">
        <f t="shared" si="27"/>
        <v>23.666666666666668</v>
      </c>
      <c r="C107" s="10">
        <f t="shared" si="9"/>
        <v>311.515308</v>
      </c>
      <c r="E107">
        <f t="shared" si="25"/>
        <v>156</v>
      </c>
      <c r="G107" s="2">
        <f t="shared" si="10"/>
        <v>962.2065406515961</v>
      </c>
      <c r="I107" s="2">
        <f t="shared" si="11"/>
        <v>765</v>
      </c>
      <c r="J107" s="13">
        <f t="shared" si="0"/>
        <v>-7.546644223788322</v>
      </c>
      <c r="K107" s="10">
        <f t="shared" si="23"/>
        <v>291.1138447675786</v>
      </c>
      <c r="L107" s="13">
        <f t="shared" si="1"/>
        <v>8.286700854112443</v>
      </c>
      <c r="M107" s="10">
        <f t="shared" si="12"/>
        <v>-5.213299145887557</v>
      </c>
      <c r="N107" s="10">
        <f t="shared" si="24"/>
        <v>273.4104383974293</v>
      </c>
      <c r="P107" s="13">
        <f t="shared" si="5"/>
        <v>0.7400566303241206</v>
      </c>
      <c r="Q107" s="13">
        <f t="shared" si="6"/>
        <v>0</v>
      </c>
    </row>
    <row r="108" spans="1:17" ht="12.75">
      <c r="A108">
        <f t="shared" si="7"/>
        <v>157</v>
      </c>
      <c r="B108" s="10">
        <f t="shared" si="27"/>
        <v>23.5</v>
      </c>
      <c r="C108" s="10">
        <f t="shared" si="9"/>
        <v>311.515308</v>
      </c>
      <c r="E108">
        <f t="shared" si="25"/>
        <v>157</v>
      </c>
      <c r="G108" s="2">
        <f t="shared" si="10"/>
        <v>962.2065406515961</v>
      </c>
      <c r="I108" s="2">
        <f t="shared" si="11"/>
        <v>780</v>
      </c>
      <c r="J108" s="13">
        <f t="shared" si="0"/>
        <v>-7.587057530717558</v>
      </c>
      <c r="K108" s="10">
        <f t="shared" si="23"/>
        <v>290.99619885833323</v>
      </c>
      <c r="L108" s="13">
        <f aca="true" t="shared" si="28" ref="L108:L171">(K108-N108)/D$12</f>
        <v>8.349135659031818</v>
      </c>
      <c r="M108" s="10">
        <f t="shared" si="12"/>
        <v>-5.150864340968182</v>
      </c>
      <c r="N108" s="10">
        <f t="shared" si="24"/>
        <v>273.1594090413107</v>
      </c>
      <c r="P108" s="13">
        <f t="shared" si="5"/>
        <v>0.7620781283142603</v>
      </c>
      <c r="Q108" s="13">
        <f t="shared" si="6"/>
        <v>0</v>
      </c>
    </row>
    <row r="109" spans="1:17" ht="12.75">
      <c r="A109">
        <f t="shared" si="7"/>
        <v>158</v>
      </c>
      <c r="B109" s="10">
        <f t="shared" si="27"/>
        <v>23.333333333333332</v>
      </c>
      <c r="C109" s="10">
        <f t="shared" si="9"/>
        <v>311.515308</v>
      </c>
      <c r="E109">
        <f t="shared" si="25"/>
        <v>158</v>
      </c>
      <c r="G109" s="2">
        <f t="shared" si="10"/>
        <v>962.2065406515961</v>
      </c>
      <c r="I109" s="2">
        <f t="shared" si="11"/>
        <v>795</v>
      </c>
      <c r="J109" s="13">
        <f t="shared" si="0"/>
        <v>-7.625673221438483</v>
      </c>
      <c r="K109" s="10">
        <f t="shared" si="23"/>
        <v>290.877922939232</v>
      </c>
      <c r="L109" s="13">
        <f t="shared" si="28"/>
        <v>8.409868341024973</v>
      </c>
      <c r="M109" s="10">
        <f t="shared" si="12"/>
        <v>-5.077631658975028</v>
      </c>
      <c r="N109" s="10">
        <f t="shared" si="24"/>
        <v>272.9113860288605</v>
      </c>
      <c r="P109" s="13">
        <f t="shared" si="5"/>
        <v>0.7841951195864909</v>
      </c>
      <c r="Q109" s="13">
        <f t="shared" si="6"/>
        <v>0</v>
      </c>
    </row>
    <row r="110" spans="1:17" ht="12.75">
      <c r="A110">
        <f t="shared" si="7"/>
        <v>159</v>
      </c>
      <c r="B110" s="10">
        <f t="shared" si="27"/>
        <v>23.166666666666668</v>
      </c>
      <c r="C110" s="10">
        <f t="shared" si="9"/>
        <v>311.515308</v>
      </c>
      <c r="E110">
        <f t="shared" si="25"/>
        <v>159</v>
      </c>
      <c r="G110" s="2">
        <f t="shared" si="10"/>
        <v>962.2065406515961</v>
      </c>
      <c r="I110" s="2">
        <f t="shared" si="11"/>
        <v>810</v>
      </c>
      <c r="J110" s="13">
        <f t="shared" si="0"/>
        <v>-7.662266612003426</v>
      </c>
      <c r="K110" s="10">
        <f t="shared" si="23"/>
        <v>290.75904503361716</v>
      </c>
      <c r="L110" s="13">
        <f t="shared" si="28"/>
        <v>8.468668642903447</v>
      </c>
      <c r="M110" s="10">
        <f aca="true" t="shared" si="29" ref="M110:M173">L110-VLOOKUP(N110,A$44:C$251,2,TRUE)</f>
        <v>-5.018831357096554</v>
      </c>
      <c r="N110" s="10">
        <f t="shared" si="24"/>
        <v>272.66688929650525</v>
      </c>
      <c r="P110" s="13">
        <f t="shared" si="5"/>
        <v>0.8064020309000209</v>
      </c>
      <c r="Q110" s="13">
        <f t="shared" si="6"/>
        <v>0</v>
      </c>
    </row>
    <row r="111" spans="1:17" ht="12.75">
      <c r="A111">
        <f t="shared" si="7"/>
        <v>160</v>
      </c>
      <c r="B111" s="10">
        <f t="shared" si="27"/>
        <v>23</v>
      </c>
      <c r="C111" s="10">
        <f t="shared" si="9"/>
        <v>311.515308</v>
      </c>
      <c r="E111">
        <f t="shared" si="25"/>
        <v>160</v>
      </c>
      <c r="G111" s="2">
        <f t="shared" si="10"/>
        <v>962.2065406515961</v>
      </c>
      <c r="I111" s="2">
        <f t="shared" si="11"/>
        <v>825</v>
      </c>
      <c r="J111" s="13">
        <f t="shared" si="0"/>
        <v>-7.697183958582204</v>
      </c>
      <c r="K111" s="10">
        <f t="shared" si="23"/>
        <v>290.6395966674668</v>
      </c>
      <c r="L111" s="13">
        <f t="shared" si="28"/>
        <v>8.525876614455496</v>
      </c>
      <c r="M111" s="10">
        <f t="shared" si="29"/>
        <v>-4.961623385544504</v>
      </c>
      <c r="N111" s="10">
        <f t="shared" si="24"/>
        <v>272.42522390022094</v>
      </c>
      <c r="P111" s="13">
        <f t="shared" si="5"/>
        <v>0.828692655873293</v>
      </c>
      <c r="Q111" s="13">
        <f t="shared" si="6"/>
        <v>0</v>
      </c>
    </row>
    <row r="112" spans="1:17" ht="12.75">
      <c r="A112">
        <f t="shared" si="7"/>
        <v>161</v>
      </c>
      <c r="B112" s="10">
        <f t="shared" si="27"/>
        <v>22.833333333333332</v>
      </c>
      <c r="C112" s="10">
        <f t="shared" si="9"/>
        <v>311.515308</v>
      </c>
      <c r="E112">
        <f t="shared" si="25"/>
        <v>161</v>
      </c>
      <c r="G112" s="2">
        <f t="shared" si="10"/>
        <v>962.2065406515961</v>
      </c>
      <c r="I112" s="2">
        <f t="shared" si="11"/>
        <v>840</v>
      </c>
      <c r="J112" s="13">
        <f t="shared" si="0"/>
        <v>-7.730478558611406</v>
      </c>
      <c r="K112" s="10">
        <f t="shared" si="23"/>
        <v>290.51960396891315</v>
      </c>
      <c r="L112" s="13">
        <f t="shared" si="28"/>
        <v>8.581540375572985</v>
      </c>
      <c r="M112" s="10">
        <f t="shared" si="29"/>
        <v>-4.905959624427016</v>
      </c>
      <c r="N112" s="10">
        <f t="shared" si="24"/>
        <v>272.1863131665527</v>
      </c>
      <c r="P112" s="13">
        <f t="shared" si="5"/>
        <v>0.8510618169615793</v>
      </c>
      <c r="Q112" s="13">
        <f t="shared" si="6"/>
        <v>0</v>
      </c>
    </row>
    <row r="113" spans="1:17" ht="12.75">
      <c r="A113">
        <f t="shared" si="7"/>
        <v>162</v>
      </c>
      <c r="B113" s="10">
        <f t="shared" si="27"/>
        <v>22.666666666666668</v>
      </c>
      <c r="C113" s="10">
        <f t="shared" si="9"/>
        <v>311.515308</v>
      </c>
      <c r="E113">
        <f t="shared" si="25"/>
        <v>162</v>
      </c>
      <c r="G113" s="2">
        <f t="shared" si="10"/>
        <v>962.2065406515961</v>
      </c>
      <c r="I113" s="2">
        <f t="shared" si="11"/>
        <v>855</v>
      </c>
      <c r="J113" s="13">
        <f t="shared" si="0"/>
        <v>-7.762202062231379</v>
      </c>
      <c r="K113" s="10">
        <f t="shared" si="23"/>
        <v>290.39909223522585</v>
      </c>
      <c r="L113" s="13">
        <f t="shared" si="28"/>
        <v>8.635706572653923</v>
      </c>
      <c r="M113" s="10">
        <f t="shared" si="29"/>
        <v>-4.839293427346076</v>
      </c>
      <c r="N113" s="10">
        <f t="shared" si="24"/>
        <v>271.95008273910156</v>
      </c>
      <c r="P113" s="13">
        <f t="shared" si="5"/>
        <v>0.8735045104225437</v>
      </c>
      <c r="Q113" s="13">
        <f t="shared" si="6"/>
        <v>0</v>
      </c>
    </row>
    <row r="114" spans="1:17" ht="12.75">
      <c r="A114" s="14">
        <f t="shared" si="7"/>
        <v>163</v>
      </c>
      <c r="B114" s="14">
        <v>22.5</v>
      </c>
      <c r="C114" s="10">
        <f t="shared" si="9"/>
        <v>311.515308</v>
      </c>
      <c r="E114" s="14">
        <f t="shared" si="25"/>
        <v>163</v>
      </c>
      <c r="G114" s="2">
        <f t="shared" si="10"/>
        <v>962.2065406515961</v>
      </c>
      <c r="I114" s="2">
        <f t="shared" si="11"/>
        <v>870</v>
      </c>
      <c r="J114" s="13">
        <f t="shared" si="0"/>
        <v>-7.792122784084233</v>
      </c>
      <c r="K114" s="10">
        <f t="shared" si="23"/>
        <v>290.2780859584917</v>
      </c>
      <c r="L114" s="13">
        <f t="shared" si="28"/>
        <v>8.688138685007239</v>
      </c>
      <c r="M114" s="10">
        <f t="shared" si="29"/>
        <v>-4.786861314992761</v>
      </c>
      <c r="N114" s="10">
        <f t="shared" si="24"/>
        <v>271.71706240415807</v>
      </c>
      <c r="P114" s="13">
        <f t="shared" si="5"/>
        <v>0.896015900923006</v>
      </c>
      <c r="Q114" s="13">
        <f t="shared" si="6"/>
        <v>0</v>
      </c>
    </row>
    <row r="115" spans="1:17" ht="12.75">
      <c r="A115">
        <f t="shared" si="7"/>
        <v>164</v>
      </c>
      <c r="B115" s="10">
        <f>(A115-A$114)/(A$124-A$114)*(B$124-B$114)+B$114</f>
        <v>22.45</v>
      </c>
      <c r="C115" s="10">
        <f t="shared" si="9"/>
        <v>311.515308</v>
      </c>
      <c r="E115">
        <f t="shared" si="25"/>
        <v>164</v>
      </c>
      <c r="G115" s="2">
        <f t="shared" si="10"/>
        <v>962.2065406515961</v>
      </c>
      <c r="I115" s="2">
        <f t="shared" si="11"/>
        <v>885</v>
      </c>
      <c r="J115" s="13">
        <f t="shared" si="0"/>
        <v>-7.820580190679587</v>
      </c>
      <c r="K115" s="10">
        <f t="shared" si="23"/>
        <v>290.1566132425797</v>
      </c>
      <c r="L115" s="13">
        <f t="shared" si="28"/>
        <v>8.739170691182114</v>
      </c>
      <c r="M115" s="10">
        <f t="shared" si="29"/>
        <v>-4.735829308817886</v>
      </c>
      <c r="N115" s="10">
        <f t="shared" si="24"/>
        <v>271.48656676596335</v>
      </c>
      <c r="P115" s="13">
        <f t="shared" si="5"/>
        <v>0.9185905005025267</v>
      </c>
      <c r="Q115" s="13">
        <f t="shared" si="6"/>
        <v>0</v>
      </c>
    </row>
    <row r="116" spans="1:17" ht="12.75">
      <c r="A116">
        <f t="shared" si="7"/>
        <v>165</v>
      </c>
      <c r="B116" s="10">
        <f aca="true" t="shared" si="30" ref="B116:B123">(A116-A$114)/(A$124-A$114)*(B$124-B$114)+B$114</f>
        <v>22.4</v>
      </c>
      <c r="C116" s="10">
        <f t="shared" si="9"/>
        <v>311.515308</v>
      </c>
      <c r="E116">
        <f t="shared" si="25"/>
        <v>165</v>
      </c>
      <c r="G116" s="2">
        <f t="shared" si="10"/>
        <v>962.2065406515961</v>
      </c>
      <c r="I116" s="2">
        <f t="shared" si="11"/>
        <v>900</v>
      </c>
      <c r="J116" s="13">
        <f t="shared" si="0"/>
        <v>-7.847621001882934</v>
      </c>
      <c r="K116" s="10">
        <f t="shared" si="23"/>
        <v>290.03469689935804</v>
      </c>
      <c r="L116" s="13">
        <f t="shared" si="28"/>
        <v>8.788844826216147</v>
      </c>
      <c r="M116" s="10">
        <f t="shared" si="29"/>
        <v>-4.6861551737838525</v>
      </c>
      <c r="N116" s="10">
        <f t="shared" si="24"/>
        <v>271.2585284069872</v>
      </c>
      <c r="P116" s="13">
        <f t="shared" si="5"/>
        <v>0.9412238243332134</v>
      </c>
      <c r="Q116" s="13">
        <f t="shared" si="6"/>
        <v>0</v>
      </c>
    </row>
    <row r="117" spans="1:17" ht="12.75">
      <c r="A117">
        <f t="shared" si="7"/>
        <v>166</v>
      </c>
      <c r="B117" s="10">
        <f t="shared" si="30"/>
        <v>22.35</v>
      </c>
      <c r="C117" s="10">
        <f t="shared" si="9"/>
        <v>311.515308</v>
      </c>
      <c r="E117">
        <f t="shared" si="25"/>
        <v>166</v>
      </c>
      <c r="G117" s="2">
        <f t="shared" si="10"/>
        <v>962.2065406515961</v>
      </c>
      <c r="I117" s="2">
        <f t="shared" si="11"/>
        <v>915</v>
      </c>
      <c r="J117" s="13">
        <f t="shared" si="0"/>
        <v>-7.873290492470494</v>
      </c>
      <c r="K117" s="10">
        <f t="shared" si="23"/>
        <v>289.9123590123712</v>
      </c>
      <c r="L117" s="13">
        <f t="shared" si="28"/>
        <v>8.83720203228934</v>
      </c>
      <c r="M117" s="10">
        <f t="shared" si="29"/>
        <v>-4.637797967710659</v>
      </c>
      <c r="N117" s="10">
        <f t="shared" si="24"/>
        <v>271.03288194338944</v>
      </c>
      <c r="P117" s="13">
        <f t="shared" si="5"/>
        <v>0.9639115398188467</v>
      </c>
      <c r="Q117" s="13">
        <f t="shared" si="6"/>
        <v>0</v>
      </c>
    </row>
    <row r="118" spans="1:17" ht="12.75">
      <c r="A118">
        <f t="shared" si="7"/>
        <v>167</v>
      </c>
      <c r="B118" s="10">
        <f t="shared" si="30"/>
        <v>22.3</v>
      </c>
      <c r="C118" s="10">
        <f t="shared" si="9"/>
        <v>311.515308</v>
      </c>
      <c r="E118">
        <f t="shared" si="25"/>
        <v>167</v>
      </c>
      <c r="G118" s="2">
        <f t="shared" si="10"/>
        <v>962.2065406515961</v>
      </c>
      <c r="I118" s="2">
        <f t="shared" si="11"/>
        <v>930</v>
      </c>
      <c r="J118" s="13">
        <f t="shared" si="0"/>
        <v>-7.897632536574646</v>
      </c>
      <c r="K118" s="10">
        <f t="shared" si="23"/>
        <v>289.7896209593675</v>
      </c>
      <c r="L118" s="13">
        <f t="shared" si="28"/>
        <v>8.884281998408916</v>
      </c>
      <c r="M118" s="10">
        <f t="shared" si="29"/>
        <v>-4.578218001591084</v>
      </c>
      <c r="N118" s="10">
        <f t="shared" si="24"/>
        <v>270.8095639627666</v>
      </c>
      <c r="P118" s="13">
        <f t="shared" si="5"/>
        <v>0.9866494618342703</v>
      </c>
      <c r="Q118" s="13">
        <f t="shared" si="6"/>
        <v>0</v>
      </c>
    </row>
    <row r="119" spans="1:17" ht="12.75">
      <c r="A119">
        <f t="shared" si="7"/>
        <v>168</v>
      </c>
      <c r="B119" s="10">
        <f t="shared" si="30"/>
        <v>22.25</v>
      </c>
      <c r="C119" s="10">
        <f t="shared" si="9"/>
        <v>311.515308</v>
      </c>
      <c r="E119">
        <f t="shared" si="25"/>
        <v>168</v>
      </c>
      <c r="G119" s="2">
        <f t="shared" si="10"/>
        <v>962.2065406515961</v>
      </c>
      <c r="I119" s="2">
        <f t="shared" si="11"/>
        <v>945</v>
      </c>
      <c r="J119" s="13">
        <f t="shared" si="0"/>
        <v>-7.920407911942645</v>
      </c>
      <c r="K119" s="10">
        <f t="shared" si="23"/>
        <v>289.66650343413386</v>
      </c>
      <c r="L119" s="13">
        <f t="shared" si="28"/>
        <v>8.92984146004835</v>
      </c>
      <c r="M119" s="10">
        <f t="shared" si="29"/>
        <v>-4.532658539951651</v>
      </c>
      <c r="N119" s="10">
        <f t="shared" si="24"/>
        <v>270.5891148603942</v>
      </c>
      <c r="P119" s="13">
        <f t="shared" si="5"/>
        <v>1.0094335481057042</v>
      </c>
      <c r="Q119" s="13">
        <f t="shared" si="6"/>
        <v>0</v>
      </c>
    </row>
    <row r="120" spans="1:17" ht="12.75">
      <c r="A120">
        <f t="shared" si="7"/>
        <v>169</v>
      </c>
      <c r="B120" s="10">
        <f t="shared" si="30"/>
        <v>22.2</v>
      </c>
      <c r="C120" s="10">
        <f t="shared" si="9"/>
        <v>311.515308</v>
      </c>
      <c r="E120">
        <f t="shared" si="25"/>
        <v>169</v>
      </c>
      <c r="G120" s="2">
        <f t="shared" si="10"/>
        <v>962.2065406515961</v>
      </c>
      <c r="I120" s="2">
        <f t="shared" si="11"/>
        <v>960</v>
      </c>
      <c r="J120" s="13">
        <f aca="true" t="shared" si="31" ref="J120:J183">(D$7-K120)*(1/D$13+1/D$14)+D$16*(D$19*D$21*D$17+D$20*D$22*D$18)*(D$7^4-K120^4)-(K120-N120)/D$12</f>
        <v>-7.941948775691414</v>
      </c>
      <c r="K120" s="10">
        <f t="shared" si="23"/>
        <v>289.54303085973345</v>
      </c>
      <c r="L120" s="13">
        <f t="shared" si="28"/>
        <v>8.974207858918543</v>
      </c>
      <c r="M120" s="10">
        <f t="shared" si="29"/>
        <v>-4.488292141081457</v>
      </c>
      <c r="N120" s="10">
        <f t="shared" si="24"/>
        <v>270.3708595247711</v>
      </c>
      <c r="P120" s="13">
        <f t="shared" si="5"/>
        <v>1.0322590832271292</v>
      </c>
      <c r="Q120" s="13">
        <f t="shared" si="6"/>
        <v>0</v>
      </c>
    </row>
    <row r="121" spans="1:17" ht="12.75">
      <c r="A121">
        <f t="shared" si="7"/>
        <v>170</v>
      </c>
      <c r="B121" s="10">
        <f t="shared" si="30"/>
        <v>22.15</v>
      </c>
      <c r="C121" s="10">
        <f t="shared" si="9"/>
        <v>311.515308</v>
      </c>
      <c r="E121">
        <f t="shared" si="25"/>
        <v>170</v>
      </c>
      <c r="G121" s="2">
        <f t="shared" si="10"/>
        <v>962.2065406515961</v>
      </c>
      <c r="I121" s="2">
        <f aca="true" t="shared" si="32" ref="I121:I184">I120+I$41</f>
        <v>975</v>
      </c>
      <c r="J121" s="13">
        <f t="shared" si="31"/>
        <v>-7.962294767459841</v>
      </c>
      <c r="K121" s="10">
        <f t="shared" si="23"/>
        <v>289.41922248117606</v>
      </c>
      <c r="L121" s="13">
        <f t="shared" si="28"/>
        <v>9.017417093890378</v>
      </c>
      <c r="M121" s="10">
        <f t="shared" si="29"/>
        <v>-4.445082906109622</v>
      </c>
      <c r="N121" s="10">
        <f t="shared" si="24"/>
        <v>270.1547405078648</v>
      </c>
      <c r="P121" s="13">
        <f aca="true" t="shared" si="33" ref="P121:P184">(D$7-K121)*(1/D$13+1/D$14)+D$16*(D$19*D$21*D$17+D$20*D$22*D$18)*(D$7^4-K121^4)</f>
        <v>1.0551223264305365</v>
      </c>
      <c r="Q121" s="13">
        <f aca="true" t="shared" si="34" ref="Q121:Q184">IF(K121=D$8,-J121,0)</f>
        <v>0</v>
      </c>
    </row>
    <row r="122" spans="1:17" ht="12.75">
      <c r="A122">
        <f aca="true" t="shared" si="35" ref="A122:A185">A121+1</f>
        <v>171</v>
      </c>
      <c r="B122" s="10">
        <f t="shared" si="30"/>
        <v>22.1</v>
      </c>
      <c r="C122" s="10">
        <f aca="true" t="shared" si="36" ref="C122:C185">C121</f>
        <v>311.515308</v>
      </c>
      <c r="E122">
        <f aca="true" t="shared" si="37" ref="E122:E185">E121+1</f>
        <v>171</v>
      </c>
      <c r="G122" s="2">
        <f aca="true" t="shared" si="38" ref="G122:G185">G121</f>
        <v>962.2065406515961</v>
      </c>
      <c r="I122" s="2">
        <f t="shared" si="32"/>
        <v>990</v>
      </c>
      <c r="J122" s="13">
        <f t="shared" si="31"/>
        <v>-7.9814842996310835</v>
      </c>
      <c r="K122" s="10">
        <f t="shared" si="23"/>
        <v>289.2950969255225</v>
      </c>
      <c r="L122" s="13">
        <f t="shared" si="28"/>
        <v>9.059503965453514</v>
      </c>
      <c r="M122" s="10">
        <f t="shared" si="29"/>
        <v>-4.390496034546485</v>
      </c>
      <c r="N122" s="10">
        <f t="shared" si="24"/>
        <v>269.94070209023545</v>
      </c>
      <c r="P122" s="13">
        <f t="shared" si="33"/>
        <v>1.0780196658224304</v>
      </c>
      <c r="Q122" s="13">
        <f t="shared" si="34"/>
        <v>0</v>
      </c>
    </row>
    <row r="123" spans="1:17" ht="12.75">
      <c r="A123">
        <f t="shared" si="35"/>
        <v>172</v>
      </c>
      <c r="B123" s="10">
        <f t="shared" si="30"/>
        <v>22.05</v>
      </c>
      <c r="C123" s="10">
        <f t="shared" si="36"/>
        <v>311.515308</v>
      </c>
      <c r="E123">
        <f t="shared" si="37"/>
        <v>172</v>
      </c>
      <c r="G123" s="2">
        <f t="shared" si="38"/>
        <v>962.2065406515961</v>
      </c>
      <c r="I123" s="2">
        <f t="shared" si="32"/>
        <v>1005</v>
      </c>
      <c r="J123" s="13">
        <f t="shared" si="31"/>
        <v>-7.999272856282369</v>
      </c>
      <c r="K123" s="10">
        <f t="shared" si="23"/>
        <v>289.17067222101633</v>
      </c>
      <c r="L123" s="13">
        <f t="shared" si="28"/>
        <v>9.100220470601357</v>
      </c>
      <c r="M123" s="10">
        <f t="shared" si="29"/>
        <v>-4.349779529398642</v>
      </c>
      <c r="N123" s="10">
        <f t="shared" si="24"/>
        <v>269.7292921247316</v>
      </c>
      <c r="P123" s="13">
        <f t="shared" si="33"/>
        <v>1.100947614318988</v>
      </c>
      <c r="Q123" s="13">
        <f t="shared" si="34"/>
        <v>0</v>
      </c>
    </row>
    <row r="124" spans="1:17" ht="12.75">
      <c r="A124" s="14">
        <f t="shared" si="35"/>
        <v>173</v>
      </c>
      <c r="B124" s="14">
        <v>22</v>
      </c>
      <c r="C124" s="10">
        <f t="shared" si="36"/>
        <v>311.515308</v>
      </c>
      <c r="E124" s="14">
        <f t="shared" si="37"/>
        <v>173</v>
      </c>
      <c r="G124" s="2">
        <f t="shared" si="38"/>
        <v>962.2065406515961</v>
      </c>
      <c r="I124" s="2">
        <f t="shared" si="32"/>
        <v>1020</v>
      </c>
      <c r="J124" s="13">
        <f t="shared" si="31"/>
        <v>-8.015987460322325</v>
      </c>
      <c r="K124" s="10">
        <f t="shared" si="23"/>
        <v>289.0459702077012</v>
      </c>
      <c r="L124" s="13">
        <f t="shared" si="28"/>
        <v>9.139889457994098</v>
      </c>
      <c r="M124" s="10">
        <f t="shared" si="29"/>
        <v>-4.310110542005901</v>
      </c>
      <c r="N124" s="10">
        <f t="shared" si="24"/>
        <v>269.51984272925927</v>
      </c>
      <c r="P124" s="13">
        <f t="shared" si="33"/>
        <v>1.1239019976717732</v>
      </c>
      <c r="Q124" s="13">
        <f t="shared" si="34"/>
        <v>0</v>
      </c>
    </row>
    <row r="125" spans="1:17" ht="12.75">
      <c r="A125">
        <f t="shared" si="35"/>
        <v>174</v>
      </c>
      <c r="B125" s="10">
        <f>(A125-A$124)/(A$136-A$124)*(B$136-B$124)+B$124</f>
        <v>21.875</v>
      </c>
      <c r="C125" s="10">
        <f t="shared" si="36"/>
        <v>311.515308</v>
      </c>
      <c r="E125">
        <f t="shared" si="37"/>
        <v>174</v>
      </c>
      <c r="G125" s="2">
        <f t="shared" si="38"/>
        <v>962.2065406515961</v>
      </c>
      <c r="I125" s="2">
        <f t="shared" si="32"/>
        <v>1035</v>
      </c>
      <c r="J125" s="13">
        <f t="shared" si="31"/>
        <v>-8.03166277872405</v>
      </c>
      <c r="K125" s="10">
        <f t="shared" si="23"/>
        <v>288.92100762760543</v>
      </c>
      <c r="L125" s="13">
        <f t="shared" si="28"/>
        <v>9.178542374439708</v>
      </c>
      <c r="M125" s="10">
        <f t="shared" si="29"/>
        <v>-4.271457625560291</v>
      </c>
      <c r="N125" s="10">
        <f t="shared" si="24"/>
        <v>269.3123034640297</v>
      </c>
      <c r="P125" s="13">
        <f t="shared" si="33"/>
        <v>1.1468795957156583</v>
      </c>
      <c r="Q125" s="13">
        <f t="shared" si="34"/>
        <v>0</v>
      </c>
    </row>
    <row r="126" spans="1:17" ht="12.75">
      <c r="A126" s="37">
        <f t="shared" si="35"/>
        <v>175</v>
      </c>
      <c r="B126" s="38">
        <f aca="true" t="shared" si="39" ref="B126:B135">(A126-A$124)/(A$136-A$124)*(B$136-B$124)+B$124</f>
        <v>21.75</v>
      </c>
      <c r="C126" s="10">
        <f t="shared" si="36"/>
        <v>311.515308</v>
      </c>
      <c r="E126" s="37">
        <f t="shared" si="37"/>
        <v>175</v>
      </c>
      <c r="G126" s="2">
        <f t="shared" si="38"/>
        <v>962.2065406515961</v>
      </c>
      <c r="I126" s="2">
        <f t="shared" si="32"/>
        <v>1050</v>
      </c>
      <c r="J126" s="13">
        <f t="shared" si="31"/>
        <v>-8.0463324043021</v>
      </c>
      <c r="K126" s="10">
        <f t="shared" si="23"/>
        <v>288.7958006823281</v>
      </c>
      <c r="L126" s="13">
        <f t="shared" si="28"/>
        <v>9.216209704996372</v>
      </c>
      <c r="M126" s="10">
        <f t="shared" si="29"/>
        <v>-4.233790295003628</v>
      </c>
      <c r="N126" s="10">
        <f t="shared" si="24"/>
        <v>269.1066254034722</v>
      </c>
      <c r="P126" s="13">
        <f t="shared" si="33"/>
        <v>1.1698773006942715</v>
      </c>
      <c r="Q126" s="13">
        <f t="shared" si="34"/>
        <v>0</v>
      </c>
    </row>
    <row r="127" spans="1:17" ht="12.75">
      <c r="A127">
        <f t="shared" si="35"/>
        <v>176</v>
      </c>
      <c r="B127" s="10">
        <f t="shared" si="39"/>
        <v>21.625</v>
      </c>
      <c r="C127" s="10">
        <f t="shared" si="36"/>
        <v>311.515308</v>
      </c>
      <c r="E127">
        <f t="shared" si="37"/>
        <v>176</v>
      </c>
      <c r="G127" s="2">
        <f t="shared" si="38"/>
        <v>962.2065406515961</v>
      </c>
      <c r="I127" s="2">
        <f t="shared" si="32"/>
        <v>1065</v>
      </c>
      <c r="J127" s="13">
        <f t="shared" si="31"/>
        <v>-8.060028888795463</v>
      </c>
      <c r="K127" s="10">
        <f t="shared" si="23"/>
        <v>288.67036504978415</v>
      </c>
      <c r="L127" s="13">
        <f t="shared" si="28"/>
        <v>9.25292100248754</v>
      </c>
      <c r="M127" s="10">
        <f t="shared" si="29"/>
        <v>-4.18457899751246</v>
      </c>
      <c r="N127" s="10">
        <f t="shared" si="24"/>
        <v>268.9027610899244</v>
      </c>
      <c r="P127" s="13">
        <f t="shared" si="33"/>
        <v>1.1928921136920774</v>
      </c>
      <c r="Q127" s="13">
        <f t="shared" si="34"/>
        <v>0</v>
      </c>
    </row>
    <row r="128" spans="1:17" ht="12.75">
      <c r="A128">
        <f t="shared" si="35"/>
        <v>177</v>
      </c>
      <c r="B128" s="10">
        <f t="shared" si="39"/>
        <v>21.5</v>
      </c>
      <c r="C128" s="10">
        <f t="shared" si="36"/>
        <v>311.515308</v>
      </c>
      <c r="E128">
        <f t="shared" si="37"/>
        <v>177</v>
      </c>
      <c r="G128" s="2">
        <f t="shared" si="38"/>
        <v>962.2065406515961</v>
      </c>
      <c r="I128" s="2">
        <f t="shared" si="32"/>
        <v>1080</v>
      </c>
      <c r="J128" s="13">
        <f t="shared" si="31"/>
        <v>-8.072502036108848</v>
      </c>
      <c r="K128" s="10">
        <f t="shared" si="23"/>
        <v>288.5447159004341</v>
      </c>
      <c r="L128" s="13">
        <f t="shared" si="28"/>
        <v>9.288423177283654</v>
      </c>
      <c r="M128" s="10">
        <f t="shared" si="29"/>
        <v>-4.149076822716346</v>
      </c>
      <c r="N128" s="10">
        <f t="shared" si="24"/>
        <v>268.7012663853281</v>
      </c>
      <c r="P128" s="13">
        <f t="shared" si="33"/>
        <v>1.2159211411748068</v>
      </c>
      <c r="Q128" s="13">
        <f t="shared" si="34"/>
        <v>0</v>
      </c>
    </row>
    <row r="129" spans="1:17" ht="12.75">
      <c r="A129">
        <f t="shared" si="35"/>
        <v>178</v>
      </c>
      <c r="B129" s="10">
        <f t="shared" si="39"/>
        <v>21.375</v>
      </c>
      <c r="C129" s="10">
        <f t="shared" si="36"/>
        <v>311.515308</v>
      </c>
      <c r="E129">
        <f t="shared" si="37"/>
        <v>178</v>
      </c>
      <c r="G129" s="2">
        <f t="shared" si="38"/>
        <v>962.2065406515961</v>
      </c>
      <c r="I129" s="2">
        <f t="shared" si="32"/>
        <v>1095</v>
      </c>
      <c r="J129" s="13">
        <f t="shared" si="31"/>
        <v>-8.08407335955436</v>
      </c>
      <c r="K129" s="10">
        <f t="shared" si="23"/>
        <v>288.41887230508746</v>
      </c>
      <c r="L129" s="13">
        <f t="shared" si="28"/>
        <v>9.323034147518326</v>
      </c>
      <c r="M129" s="10">
        <f t="shared" si="29"/>
        <v>-4.114465852481674</v>
      </c>
      <c r="N129" s="10">
        <f t="shared" si="24"/>
        <v>268.50148117175286</v>
      </c>
      <c r="P129" s="13">
        <f t="shared" si="33"/>
        <v>1.2389607879639672</v>
      </c>
      <c r="Q129" s="13">
        <f t="shared" si="34"/>
        <v>0</v>
      </c>
    </row>
    <row r="130" spans="1:17" ht="12.75">
      <c r="A130">
        <f t="shared" si="35"/>
        <v>179</v>
      </c>
      <c r="B130" s="10">
        <f t="shared" si="39"/>
        <v>21.25</v>
      </c>
      <c r="C130" s="10">
        <f t="shared" si="36"/>
        <v>311.515308</v>
      </c>
      <c r="E130">
        <f t="shared" si="37"/>
        <v>179</v>
      </c>
      <c r="G130" s="2">
        <f t="shared" si="38"/>
        <v>962.2065406515961</v>
      </c>
      <c r="I130" s="2">
        <f t="shared" si="32"/>
        <v>1110</v>
      </c>
      <c r="J130" s="13">
        <f t="shared" si="31"/>
        <v>-8.094772190614693</v>
      </c>
      <c r="K130" s="10">
        <f t="shared" si="23"/>
        <v>288.2928483224286</v>
      </c>
      <c r="L130" s="13">
        <f t="shared" si="28"/>
        <v>9.356780580806541</v>
      </c>
      <c r="M130" s="10">
        <f t="shared" si="29"/>
        <v>-4.080719419193459</v>
      </c>
      <c r="N130" s="10">
        <f t="shared" si="24"/>
        <v>268.3033625361601</v>
      </c>
      <c r="P130" s="13">
        <f t="shared" si="33"/>
        <v>1.262008390191848</v>
      </c>
      <c r="Q130" s="13">
        <f t="shared" si="34"/>
        <v>0</v>
      </c>
    </row>
    <row r="131" spans="1:17" ht="12.75">
      <c r="A131">
        <f t="shared" si="35"/>
        <v>180</v>
      </c>
      <c r="B131" s="10">
        <f t="shared" si="39"/>
        <v>21.125</v>
      </c>
      <c r="C131" s="10">
        <f t="shared" si="36"/>
        <v>311.515308</v>
      </c>
      <c r="E131">
        <f t="shared" si="37"/>
        <v>180</v>
      </c>
      <c r="G131" s="2">
        <f t="shared" si="38"/>
        <v>962.2065406515961</v>
      </c>
      <c r="I131" s="2">
        <f t="shared" si="32"/>
        <v>1125</v>
      </c>
      <c r="J131" s="13">
        <f t="shared" si="31"/>
        <v>-8.104626950976783</v>
      </c>
      <c r="K131" s="10">
        <f t="shared" si="23"/>
        <v>288.1666575538884</v>
      </c>
      <c r="L131" s="13">
        <f t="shared" si="28"/>
        <v>9.389688329665525</v>
      </c>
      <c r="M131" s="10">
        <f t="shared" si="29"/>
        <v>-4.047811670334475</v>
      </c>
      <c r="N131" s="10">
        <f t="shared" si="24"/>
        <v>268.10686884960296</v>
      </c>
      <c r="P131" s="13">
        <f t="shared" si="33"/>
        <v>1.2850613786887424</v>
      </c>
      <c r="Q131" s="13">
        <f t="shared" si="34"/>
        <v>0</v>
      </c>
    </row>
    <row r="132" spans="1:17" ht="12.75">
      <c r="A132">
        <f t="shared" si="35"/>
        <v>181</v>
      </c>
      <c r="B132" s="10">
        <f t="shared" si="39"/>
        <v>21</v>
      </c>
      <c r="C132" s="10">
        <f t="shared" si="36"/>
        <v>311.515308</v>
      </c>
      <c r="E132">
        <f t="shared" si="37"/>
        <v>181</v>
      </c>
      <c r="G132" s="2">
        <f t="shared" si="38"/>
        <v>962.2065406515961</v>
      </c>
      <c r="I132" s="2">
        <f t="shared" si="32"/>
        <v>1140</v>
      </c>
      <c r="J132" s="13">
        <f t="shared" si="31"/>
        <v>-8.113665180569772</v>
      </c>
      <c r="K132" s="10">
        <f t="shared" si="23"/>
        <v>288.0403131578273</v>
      </c>
      <c r="L132" s="13">
        <f t="shared" si="28"/>
        <v>9.42178245652521</v>
      </c>
      <c r="M132" s="10">
        <f t="shared" si="29"/>
        <v>-4.00321754347479</v>
      </c>
      <c r="N132" s="10">
        <f t="shared" si="24"/>
        <v>267.911959727978</v>
      </c>
      <c r="P132" s="13">
        <f t="shared" si="33"/>
        <v>1.3081172759554396</v>
      </c>
      <c r="Q132" s="13">
        <f t="shared" si="34"/>
        <v>0</v>
      </c>
    </row>
    <row r="133" spans="1:17" ht="12.75">
      <c r="A133">
        <f t="shared" si="35"/>
        <v>182</v>
      </c>
      <c r="B133" s="10">
        <f t="shared" si="39"/>
        <v>20.875</v>
      </c>
      <c r="C133" s="10">
        <f t="shared" si="36"/>
        <v>311.515308</v>
      </c>
      <c r="E133">
        <f t="shared" si="37"/>
        <v>182</v>
      </c>
      <c r="G133" s="2">
        <f t="shared" si="38"/>
        <v>962.2065406515961</v>
      </c>
      <c r="I133" s="2">
        <f t="shared" si="32"/>
        <v>1155</v>
      </c>
      <c r="J133" s="13">
        <f t="shared" si="31"/>
        <v>-8.121631825914719</v>
      </c>
      <c r="K133" s="10">
        <f t="shared" si="23"/>
        <v>287.91382786328114</v>
      </c>
      <c r="L133" s="13">
        <f t="shared" si="28"/>
        <v>9.45280551914338</v>
      </c>
      <c r="M133" s="10">
        <f t="shared" si="29"/>
        <v>-3.9721944808566203</v>
      </c>
      <c r="N133" s="10">
        <f t="shared" si="24"/>
        <v>267.71919789056574</v>
      </c>
      <c r="P133" s="13">
        <f t="shared" si="33"/>
        <v>1.3311736932286615</v>
      </c>
      <c r="Q133" s="13">
        <f t="shared" si="34"/>
        <v>0</v>
      </c>
    </row>
    <row r="134" spans="1:17" ht="12.75">
      <c r="A134">
        <f t="shared" si="35"/>
        <v>183</v>
      </c>
      <c r="B134" s="10">
        <f t="shared" si="39"/>
        <v>20.75</v>
      </c>
      <c r="C134" s="10">
        <f t="shared" si="36"/>
        <v>311.515308</v>
      </c>
      <c r="E134">
        <f t="shared" si="37"/>
        <v>183</v>
      </c>
      <c r="G134" s="2">
        <f t="shared" si="38"/>
        <v>962.2065406515961</v>
      </c>
      <c r="I134" s="2">
        <f t="shared" si="32"/>
        <v>1170</v>
      </c>
      <c r="J134" s="13">
        <f t="shared" si="31"/>
        <v>-8.128843688251287</v>
      </c>
      <c r="K134" s="10">
        <f t="shared" si="23"/>
        <v>287.78721837535744</v>
      </c>
      <c r="L134" s="13">
        <f t="shared" si="28"/>
        <v>9.483071216589636</v>
      </c>
      <c r="M134" s="10">
        <f t="shared" si="29"/>
        <v>-3.941928783410365</v>
      </c>
      <c r="N134" s="10">
        <f t="shared" si="24"/>
        <v>267.5279298671887</v>
      </c>
      <c r="P134" s="13">
        <f t="shared" si="33"/>
        <v>1.354227528338349</v>
      </c>
      <c r="Q134" s="13">
        <f t="shared" si="34"/>
        <v>0</v>
      </c>
    </row>
    <row r="135" spans="1:17" ht="12.75">
      <c r="A135">
        <f t="shared" si="35"/>
        <v>184</v>
      </c>
      <c r="B135" s="10">
        <f t="shared" si="39"/>
        <v>20.625</v>
      </c>
      <c r="C135" s="10">
        <f t="shared" si="36"/>
        <v>311.515308</v>
      </c>
      <c r="E135">
        <f t="shared" si="37"/>
        <v>184</v>
      </c>
      <c r="G135" s="2">
        <f t="shared" si="38"/>
        <v>962.2065406515961</v>
      </c>
      <c r="I135" s="2">
        <f t="shared" si="32"/>
        <v>1185</v>
      </c>
      <c r="J135" s="13">
        <f t="shared" si="31"/>
        <v>-8.135325536633047</v>
      </c>
      <c r="K135" s="10">
        <f t="shared" si="23"/>
        <v>287.6604964604958</v>
      </c>
      <c r="L135" s="13">
        <f t="shared" si="28"/>
        <v>9.512602126893075</v>
      </c>
      <c r="M135" s="10">
        <f t="shared" si="29"/>
        <v>-3.9123978731069258</v>
      </c>
      <c r="N135" s="10">
        <f t="shared" si="24"/>
        <v>267.33811918940603</v>
      </c>
      <c r="P135" s="13">
        <f t="shared" si="33"/>
        <v>1.3772765902600275</v>
      </c>
      <c r="Q135" s="13">
        <f t="shared" si="34"/>
        <v>0</v>
      </c>
    </row>
    <row r="136" spans="1:17" ht="12.75">
      <c r="A136" s="14">
        <f t="shared" si="35"/>
        <v>185</v>
      </c>
      <c r="B136" s="14">
        <v>20.5</v>
      </c>
      <c r="C136" s="10">
        <f t="shared" si="36"/>
        <v>311.515308</v>
      </c>
      <c r="E136" s="14">
        <f t="shared" si="37"/>
        <v>185</v>
      </c>
      <c r="G136" s="2">
        <f t="shared" si="38"/>
        <v>962.2065406515961</v>
      </c>
      <c r="I136" s="2">
        <f t="shared" si="32"/>
        <v>1200</v>
      </c>
      <c r="J136" s="13">
        <f t="shared" si="31"/>
        <v>-8.141101370942673</v>
      </c>
      <c r="K136" s="10">
        <f t="shared" si="23"/>
        <v>287.5336734990068</v>
      </c>
      <c r="L136" s="13">
        <f t="shared" si="28"/>
        <v>9.541420138453057</v>
      </c>
      <c r="M136" s="10">
        <f t="shared" si="29"/>
        <v>-3.8835798615469432</v>
      </c>
      <c r="N136" s="10">
        <f t="shared" si="24"/>
        <v>267.149730475948</v>
      </c>
      <c r="P136" s="13">
        <f t="shared" si="33"/>
        <v>1.400318767510384</v>
      </c>
      <c r="Q136" s="13">
        <f t="shared" si="34"/>
        <v>0</v>
      </c>
    </row>
    <row r="137" spans="1:17" ht="12.75">
      <c r="A137">
        <f t="shared" si="35"/>
        <v>186</v>
      </c>
      <c r="B137" s="10">
        <f>(A137-A$136)/(A$144-A$136)*(B$144-B$136)+B$136</f>
        <v>20.4375</v>
      </c>
      <c r="C137" s="10">
        <f t="shared" si="36"/>
        <v>311.515308</v>
      </c>
      <c r="E137">
        <f t="shared" si="37"/>
        <v>186</v>
      </c>
      <c r="G137" s="2">
        <f t="shared" si="38"/>
        <v>962.2065406515961</v>
      </c>
      <c r="I137" s="2">
        <f t="shared" si="32"/>
        <v>1215</v>
      </c>
      <c r="J137" s="13">
        <f t="shared" si="31"/>
        <v>-8.14619444560842</v>
      </c>
      <c r="K137" s="10">
        <f t="shared" si="23"/>
        <v>287.4067604970629</v>
      </c>
      <c r="L137" s="13">
        <f t="shared" si="28"/>
        <v>9.569546471195432</v>
      </c>
      <c r="M137" s="10">
        <f t="shared" si="29"/>
        <v>-3.8429535288045678</v>
      </c>
      <c r="N137" s="10">
        <f t="shared" si="24"/>
        <v>266.96272939950904</v>
      </c>
      <c r="P137" s="13">
        <f t="shared" si="33"/>
        <v>1.4233520255870111</v>
      </c>
      <c r="Q137" s="13">
        <f t="shared" si="34"/>
        <v>0</v>
      </c>
    </row>
    <row r="138" spans="1:17" ht="12.75">
      <c r="A138">
        <f t="shared" si="35"/>
        <v>187</v>
      </c>
      <c r="B138" s="10">
        <f aca="true" t="shared" si="40" ref="B138:B143">(A138-A$136)/(A$144-A$136)*(B$144-B$136)+B$136</f>
        <v>20.375</v>
      </c>
      <c r="C138" s="10">
        <f t="shared" si="36"/>
        <v>311.515308</v>
      </c>
      <c r="E138">
        <f t="shared" si="37"/>
        <v>187</v>
      </c>
      <c r="G138" s="2">
        <f t="shared" si="38"/>
        <v>962.2065406515961</v>
      </c>
      <c r="I138" s="2">
        <f t="shared" si="32"/>
        <v>1230</v>
      </c>
      <c r="J138" s="13">
        <f t="shared" si="31"/>
        <v>-8.1503455537645</v>
      </c>
      <c r="K138" s="10">
        <f t="shared" si="23"/>
        <v>287.2797680983193</v>
      </c>
      <c r="L138" s="13">
        <f t="shared" si="28"/>
        <v>9.596719958251997</v>
      </c>
      <c r="M138" s="10">
        <f t="shared" si="29"/>
        <v>-3.8157800417480026</v>
      </c>
      <c r="N138" s="10">
        <f t="shared" si="24"/>
        <v>266.7776845511446</v>
      </c>
      <c r="P138" s="13">
        <f t="shared" si="33"/>
        <v>1.446374404487496</v>
      </c>
      <c r="Q138" s="13">
        <f t="shared" si="34"/>
        <v>0</v>
      </c>
    </row>
    <row r="139" spans="1:17" ht="12.75">
      <c r="A139">
        <f t="shared" si="35"/>
        <v>188</v>
      </c>
      <c r="B139" s="10">
        <f t="shared" si="40"/>
        <v>20.3125</v>
      </c>
      <c r="C139" s="10">
        <f t="shared" si="36"/>
        <v>311.515308</v>
      </c>
      <c r="E139">
        <f t="shared" si="37"/>
        <v>188</v>
      </c>
      <c r="G139" s="2">
        <f t="shared" si="38"/>
        <v>962.2065406515961</v>
      </c>
      <c r="I139" s="2">
        <f t="shared" si="32"/>
        <v>1245</v>
      </c>
      <c r="J139" s="13">
        <f t="shared" si="31"/>
        <v>-8.153867466943383</v>
      </c>
      <c r="K139" s="10">
        <f t="shared" si="23"/>
        <v>287.15271098725077</v>
      </c>
      <c r="L139" s="13">
        <f t="shared" si="28"/>
        <v>9.623250688323697</v>
      </c>
      <c r="M139" s="10">
        <f t="shared" si="29"/>
        <v>-3.7892493116763024</v>
      </c>
      <c r="N139" s="10">
        <f t="shared" si="24"/>
        <v>266.5939481531047</v>
      </c>
      <c r="P139" s="13">
        <f t="shared" si="33"/>
        <v>1.4693832213803135</v>
      </c>
      <c r="Q139" s="13">
        <f t="shared" si="34"/>
        <v>0</v>
      </c>
    </row>
    <row r="140" spans="1:17" ht="12.75">
      <c r="A140">
        <f t="shared" si="35"/>
        <v>189</v>
      </c>
      <c r="B140" s="10">
        <f t="shared" si="40"/>
        <v>20.25</v>
      </c>
      <c r="C140" s="10">
        <f t="shared" si="36"/>
        <v>311.515308</v>
      </c>
      <c r="E140">
        <f t="shared" si="37"/>
        <v>189</v>
      </c>
      <c r="G140" s="2">
        <f t="shared" si="38"/>
        <v>962.2065406515961</v>
      </c>
      <c r="I140" s="2">
        <f t="shared" si="32"/>
        <v>1260</v>
      </c>
      <c r="J140" s="13">
        <f t="shared" si="31"/>
        <v>-8.156781053171041</v>
      </c>
      <c r="K140" s="10">
        <f t="shared" si="23"/>
        <v>287.0255989724838</v>
      </c>
      <c r="L140" s="13">
        <f t="shared" si="28"/>
        <v>9.649157739850452</v>
      </c>
      <c r="M140" s="10">
        <f t="shared" si="29"/>
        <v>-3.763342260149548</v>
      </c>
      <c r="N140" s="10">
        <f t="shared" si="24"/>
        <v>266.41148925553057</v>
      </c>
      <c r="P140" s="13">
        <f t="shared" si="33"/>
        <v>1.492376686679411</v>
      </c>
      <c r="Q140" s="13">
        <f t="shared" si="34"/>
        <v>0</v>
      </c>
    </row>
    <row r="141" spans="1:17" ht="12.75">
      <c r="A141">
        <f t="shared" si="35"/>
        <v>190</v>
      </c>
      <c r="B141" s="10">
        <f t="shared" si="40"/>
        <v>20.1875</v>
      </c>
      <c r="C141" s="10">
        <f t="shared" si="36"/>
        <v>311.515308</v>
      </c>
      <c r="E141">
        <f t="shared" si="37"/>
        <v>190</v>
      </c>
      <c r="G141" s="2">
        <f t="shared" si="38"/>
        <v>962.2065406515961</v>
      </c>
      <c r="I141" s="2">
        <f t="shared" si="32"/>
        <v>1275</v>
      </c>
      <c r="J141" s="13">
        <f t="shared" si="31"/>
        <v>-8.159106531596573</v>
      </c>
      <c r="K141" s="10">
        <f t="shared" si="23"/>
        <v>286.8984415373299</v>
      </c>
      <c r="L141" s="13">
        <f t="shared" si="28"/>
        <v>9.674459608986053</v>
      </c>
      <c r="M141" s="10">
        <f t="shared" si="29"/>
        <v>-3.7380403910139464</v>
      </c>
      <c r="N141" s="10">
        <f t="shared" si="24"/>
        <v>266.23027782722335</v>
      </c>
      <c r="P141" s="13">
        <f t="shared" si="33"/>
        <v>1.51535307738948</v>
      </c>
      <c r="Q141" s="13">
        <f t="shared" si="34"/>
        <v>0</v>
      </c>
    </row>
    <row r="142" spans="1:17" ht="12.75">
      <c r="A142">
        <f t="shared" si="35"/>
        <v>191</v>
      </c>
      <c r="B142" s="10">
        <f t="shared" si="40"/>
        <v>20.125</v>
      </c>
      <c r="C142" s="10">
        <f t="shared" si="36"/>
        <v>311.515308</v>
      </c>
      <c r="E142">
        <f t="shared" si="37"/>
        <v>191</v>
      </c>
      <c r="G142" s="2">
        <f t="shared" si="38"/>
        <v>962.2065406515961</v>
      </c>
      <c r="I142" s="2">
        <f t="shared" si="32"/>
        <v>1290</v>
      </c>
      <c r="J142" s="13">
        <f t="shared" si="31"/>
        <v>-8.160863492508769</v>
      </c>
      <c r="K142" s="10">
        <f t="shared" si="23"/>
        <v>286.77124784990076</v>
      </c>
      <c r="L142" s="13">
        <f t="shared" si="28"/>
        <v>9.69917422745719</v>
      </c>
      <c r="M142" s="10">
        <f t="shared" si="29"/>
        <v>-3.7133257725428095</v>
      </c>
      <c r="N142" s="10">
        <f t="shared" si="24"/>
        <v>266.05028472760586</v>
      </c>
      <c r="P142" s="13">
        <f t="shared" si="33"/>
        <v>1.538310734948421</v>
      </c>
      <c r="Q142" s="13">
        <f t="shared" si="34"/>
        <v>0</v>
      </c>
    </row>
    <row r="143" spans="1:17" ht="12.75">
      <c r="A143">
        <f t="shared" si="35"/>
        <v>192</v>
      </c>
      <c r="B143" s="10">
        <f t="shared" si="40"/>
        <v>20.0625</v>
      </c>
      <c r="C143" s="10">
        <f t="shared" si="36"/>
        <v>311.515308</v>
      </c>
      <c r="E143">
        <f t="shared" si="37"/>
        <v>192</v>
      </c>
      <c r="G143" s="2">
        <f t="shared" si="38"/>
        <v>962.2065406515961</v>
      </c>
      <c r="I143" s="2">
        <f t="shared" si="32"/>
        <v>1305</v>
      </c>
      <c r="J143" s="13">
        <f t="shared" si="31"/>
        <v>-8.162070916736814</v>
      </c>
      <c r="K143" s="10">
        <f aca="true" t="shared" si="41" ref="K143:K206">MAX(D$8,K142+J142*I$41/VLOOKUP(K142,E$44:G$251,3,TRUE))</f>
        <v>286.6440267729117</v>
      </c>
      <c r="L143" s="13">
        <f t="shared" si="28"/>
        <v>9.723318979873943</v>
      </c>
      <c r="M143" s="10">
        <f t="shared" si="29"/>
        <v>-3.6766810201260576</v>
      </c>
      <c r="N143" s="10">
        <f aca="true" t="shared" si="42" ref="N143:N206">N142+M142*I$41/VLOOKUP(N142,A$44:C$251,3,TRUE)</f>
        <v>265.8714816795446</v>
      </c>
      <c r="P143" s="13">
        <f t="shared" si="33"/>
        <v>1.5612480631371277</v>
      </c>
      <c r="Q143" s="13">
        <f t="shared" si="34"/>
        <v>0</v>
      </c>
    </row>
    <row r="144" spans="1:17" ht="12.75">
      <c r="A144" s="14">
        <f t="shared" si="35"/>
        <v>193</v>
      </c>
      <c r="B144" s="14">
        <v>20</v>
      </c>
      <c r="C144" s="10">
        <f t="shared" si="36"/>
        <v>311.515308</v>
      </c>
      <c r="E144" s="14">
        <f t="shared" si="37"/>
        <v>193</v>
      </c>
      <c r="G144" s="2">
        <f t="shared" si="38"/>
        <v>962.2065406515961</v>
      </c>
      <c r="I144" s="2">
        <f t="shared" si="32"/>
        <v>1320</v>
      </c>
      <c r="J144" s="13">
        <f t="shared" si="31"/>
        <v>-8.162465455627082</v>
      </c>
      <c r="K144" s="10">
        <f t="shared" si="41"/>
        <v>286.5167868731827</v>
      </c>
      <c r="L144" s="13">
        <f t="shared" si="28"/>
        <v>9.746628981681784</v>
      </c>
      <c r="M144" s="10">
        <f t="shared" si="29"/>
        <v>-3.653371018318216</v>
      </c>
      <c r="N144" s="10">
        <f t="shared" si="42"/>
        <v>265.6944431395898</v>
      </c>
      <c r="P144" s="13">
        <f t="shared" si="33"/>
        <v>1.584163526054702</v>
      </c>
      <c r="Q144" s="13">
        <f t="shared" si="34"/>
        <v>0</v>
      </c>
    </row>
    <row r="145" spans="1:17" ht="12.75">
      <c r="A145">
        <f t="shared" si="35"/>
        <v>194</v>
      </c>
      <c r="B145" s="10">
        <f>(A145-A$144)/(A$175-A$144)*(B$175-B$144)+B$144</f>
        <v>19.838709677419356</v>
      </c>
      <c r="C145" s="10">
        <f t="shared" si="36"/>
        <v>311.515308</v>
      </c>
      <c r="E145">
        <f t="shared" si="37"/>
        <v>194</v>
      </c>
      <c r="G145" s="2">
        <f t="shared" si="38"/>
        <v>962.2065406515961</v>
      </c>
      <c r="I145" s="2">
        <f t="shared" si="32"/>
        <v>1335</v>
      </c>
      <c r="J145" s="13">
        <f t="shared" si="31"/>
        <v>-8.16235586144499</v>
      </c>
      <c r="K145" s="10">
        <f t="shared" si="41"/>
        <v>286.3895408229205</v>
      </c>
      <c r="L145" s="13">
        <f t="shared" si="28"/>
        <v>9.7694107179114</v>
      </c>
      <c r="M145" s="10">
        <f t="shared" si="29"/>
        <v>-3.6305892820886</v>
      </c>
      <c r="N145" s="10">
        <f t="shared" si="42"/>
        <v>265.5185270164734</v>
      </c>
      <c r="P145" s="13">
        <f t="shared" si="33"/>
        <v>1.607054856466411</v>
      </c>
      <c r="Q145" s="13">
        <f t="shared" si="34"/>
        <v>0</v>
      </c>
    </row>
    <row r="146" spans="1:17" ht="12.75">
      <c r="A146">
        <f t="shared" si="35"/>
        <v>195</v>
      </c>
      <c r="B146" s="10">
        <f aca="true" t="shared" si="43" ref="B146:B174">(A146-A$144)/(A$175-A$144)*(B$175-B$144)+B$144</f>
        <v>19.677419354838708</v>
      </c>
      <c r="C146" s="10">
        <f t="shared" si="36"/>
        <v>311.515308</v>
      </c>
      <c r="E146">
        <f t="shared" si="37"/>
        <v>195</v>
      </c>
      <c r="G146" s="2">
        <f t="shared" si="38"/>
        <v>962.2065406515961</v>
      </c>
      <c r="I146" s="2">
        <f t="shared" si="32"/>
        <v>1350</v>
      </c>
      <c r="J146" s="13">
        <f t="shared" si="31"/>
        <v>-8.161759112242965</v>
      </c>
      <c r="K146" s="10">
        <f t="shared" si="41"/>
        <v>286.2622964811404</v>
      </c>
      <c r="L146" s="13">
        <f t="shared" si="28"/>
        <v>9.791679773884805</v>
      </c>
      <c r="M146" s="10">
        <f t="shared" si="29"/>
        <v>-3.608320226115195</v>
      </c>
      <c r="N146" s="10">
        <f t="shared" si="42"/>
        <v>265.3437078732956</v>
      </c>
      <c r="P146" s="13">
        <f t="shared" si="33"/>
        <v>1.6299206616418411</v>
      </c>
      <c r="Q146" s="13">
        <f t="shared" si="34"/>
        <v>0</v>
      </c>
    </row>
    <row r="147" spans="1:17" ht="12.75">
      <c r="A147">
        <f t="shared" si="35"/>
        <v>196</v>
      </c>
      <c r="B147" s="10">
        <f t="shared" si="43"/>
        <v>19.516129032258064</v>
      </c>
      <c r="C147" s="10">
        <f t="shared" si="36"/>
        <v>311.515308</v>
      </c>
      <c r="E147">
        <f t="shared" si="37"/>
        <v>196</v>
      </c>
      <c r="G147" s="2">
        <f t="shared" si="38"/>
        <v>962.2065406515961</v>
      </c>
      <c r="I147" s="2">
        <f t="shared" si="32"/>
        <v>1365</v>
      </c>
      <c r="J147" s="13">
        <f t="shared" si="31"/>
        <v>-8.160691657202861</v>
      </c>
      <c r="K147" s="10">
        <f t="shared" si="41"/>
        <v>286.1350614421843</v>
      </c>
      <c r="L147" s="13">
        <f t="shared" si="28"/>
        <v>9.813451259754995</v>
      </c>
      <c r="M147" s="10">
        <f t="shared" si="29"/>
        <v>-3.5865487402450054</v>
      </c>
      <c r="N147" s="10">
        <f t="shared" si="42"/>
        <v>265.1699610236168</v>
      </c>
      <c r="P147" s="13">
        <f t="shared" si="33"/>
        <v>1.6527596025521343</v>
      </c>
      <c r="Q147" s="13">
        <f t="shared" si="34"/>
        <v>0</v>
      </c>
    </row>
    <row r="148" spans="1:17" ht="12.75">
      <c r="A148">
        <f t="shared" si="35"/>
        <v>197</v>
      </c>
      <c r="B148" s="10">
        <f t="shared" si="43"/>
        <v>19.35483870967742</v>
      </c>
      <c r="C148" s="10">
        <f t="shared" si="36"/>
        <v>311.515308</v>
      </c>
      <c r="E148">
        <f t="shared" si="37"/>
        <v>197</v>
      </c>
      <c r="G148" s="2">
        <f t="shared" si="38"/>
        <v>962.2065406515961</v>
      </c>
      <c r="I148" s="2">
        <f t="shared" si="32"/>
        <v>1380</v>
      </c>
      <c r="J148" s="13">
        <f t="shared" si="31"/>
        <v>-8.15916943295868</v>
      </c>
      <c r="K148" s="10">
        <f t="shared" si="41"/>
        <v>286.0078430439648</v>
      </c>
      <c r="L148" s="13">
        <f t="shared" si="28"/>
        <v>9.834739825074989</v>
      </c>
      <c r="M148" s="10">
        <f t="shared" si="29"/>
        <v>-3.5527601749250106</v>
      </c>
      <c r="N148" s="10">
        <f t="shared" si="42"/>
        <v>264.9972625085773</v>
      </c>
      <c r="P148" s="13">
        <f t="shared" si="33"/>
        <v>1.6755703921163085</v>
      </c>
      <c r="Q148" s="13">
        <f t="shared" si="34"/>
        <v>0</v>
      </c>
    </row>
    <row r="149" spans="1:17" ht="12.75">
      <c r="A149">
        <f t="shared" si="35"/>
        <v>198</v>
      </c>
      <c r="B149" s="10">
        <f t="shared" si="43"/>
        <v>19.193548387096776</v>
      </c>
      <c r="C149" s="10">
        <f t="shared" si="36"/>
        <v>311.515308</v>
      </c>
      <c r="E149">
        <f t="shared" si="37"/>
        <v>198</v>
      </c>
      <c r="G149" s="2">
        <f t="shared" si="38"/>
        <v>962.2065406515961</v>
      </c>
      <c r="I149" s="2">
        <f t="shared" si="32"/>
        <v>1395</v>
      </c>
      <c r="J149" s="13">
        <f t="shared" si="31"/>
        <v>-8.156926140589599</v>
      </c>
      <c r="K149" s="10">
        <f t="shared" si="41"/>
        <v>285.8806483759557</v>
      </c>
      <c r="L149" s="13">
        <f t="shared" si="28"/>
        <v>9.855277934092506</v>
      </c>
      <c r="M149" s="10">
        <f t="shared" si="29"/>
        <v>-3.5322220659074937</v>
      </c>
      <c r="N149" s="10">
        <f t="shared" si="42"/>
        <v>264.8261909713035</v>
      </c>
      <c r="P149" s="13">
        <f t="shared" si="33"/>
        <v>1.698351793502907</v>
      </c>
      <c r="Q149" s="13">
        <f t="shared" si="34"/>
        <v>0</v>
      </c>
    </row>
    <row r="150" spans="1:17" ht="12.75">
      <c r="A150">
        <f t="shared" si="35"/>
        <v>199</v>
      </c>
      <c r="B150" s="10">
        <f t="shared" si="43"/>
        <v>19.032258064516128</v>
      </c>
      <c r="C150" s="10">
        <f t="shared" si="36"/>
        <v>311.515308</v>
      </c>
      <c r="E150">
        <f t="shared" si="37"/>
        <v>199</v>
      </c>
      <c r="G150" s="2">
        <f t="shared" si="38"/>
        <v>962.2065406515961</v>
      </c>
      <c r="I150" s="2">
        <f t="shared" si="32"/>
        <v>1410</v>
      </c>
      <c r="J150" s="13">
        <f t="shared" si="31"/>
        <v>-8.154267668788615</v>
      </c>
      <c r="K150" s="10">
        <f t="shared" si="41"/>
        <v>285.75348867900954</v>
      </c>
      <c r="L150" s="13">
        <f t="shared" si="28"/>
        <v>9.875369501924377</v>
      </c>
      <c r="M150" s="10">
        <f t="shared" si="29"/>
        <v>-3.5121304980756225</v>
      </c>
      <c r="N150" s="10">
        <f t="shared" si="42"/>
        <v>264.6561083794438</v>
      </c>
      <c r="P150" s="13">
        <f t="shared" si="33"/>
        <v>1.7211018331357621</v>
      </c>
      <c r="Q150" s="13">
        <f t="shared" si="34"/>
        <v>0</v>
      </c>
    </row>
    <row r="151" spans="1:17" ht="12.75">
      <c r="A151">
        <f t="shared" si="35"/>
        <v>200</v>
      </c>
      <c r="B151" s="10">
        <f t="shared" si="43"/>
        <v>18.870967741935484</v>
      </c>
      <c r="C151" s="10">
        <f t="shared" si="36"/>
        <v>311.515308</v>
      </c>
      <c r="E151">
        <f t="shared" si="37"/>
        <v>200</v>
      </c>
      <c r="G151" s="2">
        <f t="shared" si="38"/>
        <v>962.2065406515961</v>
      </c>
      <c r="I151" s="2">
        <f t="shared" si="32"/>
        <v>1425</v>
      </c>
      <c r="J151" s="13">
        <f t="shared" si="31"/>
        <v>-8.151208224809553</v>
      </c>
      <c r="K151" s="10">
        <f t="shared" si="41"/>
        <v>285.62637042542855</v>
      </c>
      <c r="L151" s="13">
        <f t="shared" si="28"/>
        <v>9.895027622798075</v>
      </c>
      <c r="M151" s="10">
        <f t="shared" si="29"/>
        <v>-3.492472377201924</v>
      </c>
      <c r="N151" s="10">
        <f t="shared" si="42"/>
        <v>264.486993231269</v>
      </c>
      <c r="P151" s="13">
        <f t="shared" si="33"/>
        <v>1.743819397988523</v>
      </c>
      <c r="Q151" s="13">
        <f t="shared" si="34"/>
        <v>0</v>
      </c>
    </row>
    <row r="152" spans="1:17" ht="12.75">
      <c r="A152">
        <f t="shared" si="35"/>
        <v>201</v>
      </c>
      <c r="B152" s="10">
        <f t="shared" si="43"/>
        <v>18.70967741935484</v>
      </c>
      <c r="C152" s="10">
        <f t="shared" si="36"/>
        <v>311.515308</v>
      </c>
      <c r="E152">
        <f t="shared" si="37"/>
        <v>201</v>
      </c>
      <c r="G152" s="2">
        <f t="shared" si="38"/>
        <v>962.2065406515961</v>
      </c>
      <c r="I152" s="2">
        <f t="shared" si="32"/>
        <v>1440</v>
      </c>
      <c r="J152" s="13">
        <f t="shared" si="31"/>
        <v>-8.147761572545004</v>
      </c>
      <c r="K152" s="10">
        <f t="shared" si="41"/>
        <v>285.4992998660356</v>
      </c>
      <c r="L152" s="13">
        <f t="shared" si="28"/>
        <v>9.914264992137678</v>
      </c>
      <c r="M152" s="10">
        <f t="shared" si="29"/>
        <v>-3.4732350078623213</v>
      </c>
      <c r="N152" s="10">
        <f t="shared" si="42"/>
        <v>264.31882465555964</v>
      </c>
      <c r="P152" s="13">
        <f t="shared" si="33"/>
        <v>1.7665034195926728</v>
      </c>
      <c r="Q152" s="13">
        <f t="shared" si="34"/>
        <v>0</v>
      </c>
    </row>
    <row r="153" spans="1:17" ht="12.75">
      <c r="A153">
        <f t="shared" si="35"/>
        <v>202</v>
      </c>
      <c r="B153" s="10">
        <f t="shared" si="43"/>
        <v>18.548387096774192</v>
      </c>
      <c r="C153" s="10">
        <f t="shared" si="36"/>
        <v>311.515308</v>
      </c>
      <c r="E153">
        <f t="shared" si="37"/>
        <v>202</v>
      </c>
      <c r="G153" s="2">
        <f t="shared" si="38"/>
        <v>962.2065406515961</v>
      </c>
      <c r="I153" s="2">
        <f t="shared" si="32"/>
        <v>1455</v>
      </c>
      <c r="J153" s="13">
        <f t="shared" si="31"/>
        <v>-8.143941046215504</v>
      </c>
      <c r="K153" s="10">
        <f t="shared" si="41"/>
        <v>285.37228303708594</v>
      </c>
      <c r="L153" s="13">
        <f t="shared" si="28"/>
        <v>9.93309391878787</v>
      </c>
      <c r="M153" s="10">
        <f t="shared" si="29"/>
        <v>-3.454406081212129</v>
      </c>
      <c r="N153" s="10">
        <f t="shared" si="42"/>
        <v>264.15158239240276</v>
      </c>
      <c r="P153" s="13">
        <f t="shared" si="33"/>
        <v>1.7891528725723662</v>
      </c>
      <c r="Q153" s="13">
        <f t="shared" si="34"/>
        <v>0</v>
      </c>
    </row>
    <row r="154" spans="1:17" ht="12.75">
      <c r="A154">
        <f t="shared" si="35"/>
        <v>203</v>
      </c>
      <c r="B154" s="10">
        <f t="shared" si="43"/>
        <v>18.387096774193548</v>
      </c>
      <c r="C154" s="10">
        <f t="shared" si="36"/>
        <v>311.515308</v>
      </c>
      <c r="E154">
        <f t="shared" si="37"/>
        <v>203</v>
      </c>
      <c r="G154" s="2">
        <f t="shared" si="38"/>
        <v>962.2065406515961</v>
      </c>
      <c r="I154" s="2">
        <f t="shared" si="32"/>
        <v>1470</v>
      </c>
      <c r="J154" s="13">
        <f t="shared" si="31"/>
        <v>-8.139759563636693</v>
      </c>
      <c r="K154" s="10">
        <f t="shared" si="41"/>
        <v>285.24532576696544</v>
      </c>
      <c r="L154" s="13">
        <f t="shared" si="28"/>
        <v>9.95152633686239</v>
      </c>
      <c r="M154" s="10">
        <f t="shared" si="29"/>
        <v>-3.42347366313761</v>
      </c>
      <c r="N154" s="10">
        <f t="shared" si="42"/>
        <v>263.9852467745776</v>
      </c>
      <c r="P154" s="13">
        <f t="shared" si="33"/>
        <v>1.8117667732256968</v>
      </c>
      <c r="Q154" s="13">
        <f t="shared" si="34"/>
        <v>0</v>
      </c>
    </row>
    <row r="155" spans="1:17" ht="12.75">
      <c r="A155">
        <f t="shared" si="35"/>
        <v>204</v>
      </c>
      <c r="B155" s="10">
        <f t="shared" si="43"/>
        <v>18.225806451612904</v>
      </c>
      <c r="C155" s="10">
        <f t="shared" si="36"/>
        <v>311.515308</v>
      </c>
      <c r="E155">
        <f t="shared" si="37"/>
        <v>204</v>
      </c>
      <c r="G155" s="2">
        <f t="shared" si="38"/>
        <v>962.2065406515961</v>
      </c>
      <c r="I155" s="2">
        <f t="shared" si="32"/>
        <v>1485</v>
      </c>
      <c r="J155" s="13">
        <f t="shared" si="31"/>
        <v>-8.134947900250868</v>
      </c>
      <c r="K155" s="10">
        <f t="shared" si="41"/>
        <v>285.1184336826819</v>
      </c>
      <c r="L155" s="13">
        <f t="shared" si="28"/>
        <v>9.969292078401756</v>
      </c>
      <c r="M155" s="10">
        <f t="shared" si="29"/>
        <v>-3.4057079215982444</v>
      </c>
      <c r="N155" s="10">
        <f t="shared" si="42"/>
        <v>263.8204006060963</v>
      </c>
      <c r="P155" s="13">
        <f t="shared" si="33"/>
        <v>1.8343441781508871</v>
      </c>
      <c r="Q155" s="13">
        <f t="shared" si="34"/>
        <v>0</v>
      </c>
    </row>
    <row r="156" spans="1:17" ht="12.75">
      <c r="A156">
        <f t="shared" si="35"/>
        <v>205</v>
      </c>
      <c r="B156" s="10">
        <f t="shared" si="43"/>
        <v>18.064516129032256</v>
      </c>
      <c r="C156" s="10">
        <f t="shared" si="36"/>
        <v>311.515308</v>
      </c>
      <c r="E156">
        <f t="shared" si="37"/>
        <v>205</v>
      </c>
      <c r="G156" s="2">
        <f t="shared" si="38"/>
        <v>962.2065406515961</v>
      </c>
      <c r="I156" s="2">
        <f t="shared" si="32"/>
        <v>1500</v>
      </c>
      <c r="J156" s="13">
        <f t="shared" si="31"/>
        <v>-8.129809104250175</v>
      </c>
      <c r="K156" s="10">
        <f t="shared" si="41"/>
        <v>284.9916166082301</v>
      </c>
      <c r="L156" s="13">
        <f t="shared" si="28"/>
        <v>9.986692506991742</v>
      </c>
      <c r="M156" s="10">
        <f t="shared" si="29"/>
        <v>-3.3883074930082575</v>
      </c>
      <c r="N156" s="10">
        <f t="shared" si="42"/>
        <v>263.65640988874776</v>
      </c>
      <c r="P156" s="13">
        <f t="shared" si="33"/>
        <v>1.8568834027415677</v>
      </c>
      <c r="Q156" s="13">
        <f t="shared" si="34"/>
        <v>0</v>
      </c>
    </row>
    <row r="157" spans="1:17" ht="12.75">
      <c r="A157">
        <f t="shared" si="35"/>
        <v>206</v>
      </c>
      <c r="B157" s="10">
        <f t="shared" si="43"/>
        <v>17.903225806451612</v>
      </c>
      <c r="C157" s="10">
        <f t="shared" si="36"/>
        <v>311.515308</v>
      </c>
      <c r="E157">
        <f t="shared" si="37"/>
        <v>206</v>
      </c>
      <c r="G157" s="2">
        <f t="shared" si="38"/>
        <v>962.2065406515961</v>
      </c>
      <c r="I157" s="2">
        <f t="shared" si="32"/>
        <v>1515</v>
      </c>
      <c r="J157" s="13">
        <f t="shared" si="31"/>
        <v>-8.124354635333017</v>
      </c>
      <c r="K157" s="10">
        <f t="shared" si="41"/>
        <v>284.8648796433357</v>
      </c>
      <c r="L157" s="13">
        <f t="shared" si="28"/>
        <v>10.003738243565275</v>
      </c>
      <c r="M157" s="10">
        <f t="shared" si="29"/>
        <v>-3.371261756434725</v>
      </c>
      <c r="N157" s="10">
        <f t="shared" si="42"/>
        <v>263.4932570320826</v>
      </c>
      <c r="P157" s="13">
        <f t="shared" si="33"/>
        <v>1.8793836082322577</v>
      </c>
      <c r="Q157" s="13">
        <f t="shared" si="34"/>
        <v>0</v>
      </c>
    </row>
    <row r="158" spans="1:17" ht="12.75">
      <c r="A158">
        <f t="shared" si="35"/>
        <v>207</v>
      </c>
      <c r="B158" s="10">
        <f t="shared" si="43"/>
        <v>17.741935483870968</v>
      </c>
      <c r="C158" s="10">
        <f t="shared" si="36"/>
        <v>311.515308</v>
      </c>
      <c r="E158">
        <f t="shared" si="37"/>
        <v>207</v>
      </c>
      <c r="G158" s="2">
        <f t="shared" si="38"/>
        <v>962.2065406515961</v>
      </c>
      <c r="I158" s="2">
        <f t="shared" si="32"/>
        <v>1530</v>
      </c>
      <c r="J158" s="13">
        <f t="shared" si="31"/>
        <v>-8.118595594660063</v>
      </c>
      <c r="K158" s="10">
        <f t="shared" si="41"/>
        <v>284.7382277090769</v>
      </c>
      <c r="L158" s="13">
        <f t="shared" si="28"/>
        <v>10.020439586046821</v>
      </c>
      <c r="M158" s="10">
        <f t="shared" si="29"/>
        <v>-3.3545604139531786</v>
      </c>
      <c r="N158" s="10">
        <f t="shared" si="42"/>
        <v>263.3309249570678</v>
      </c>
      <c r="P158" s="13">
        <f t="shared" si="33"/>
        <v>1.9018439913867589</v>
      </c>
      <c r="Q158" s="13">
        <f t="shared" si="34"/>
        <v>0</v>
      </c>
    </row>
    <row r="159" spans="1:17" ht="12.75">
      <c r="A159">
        <f t="shared" si="35"/>
        <v>208</v>
      </c>
      <c r="B159" s="10">
        <f t="shared" si="43"/>
        <v>17.580645161290324</v>
      </c>
      <c r="C159" s="10">
        <f t="shared" si="36"/>
        <v>311.515308</v>
      </c>
      <c r="E159">
        <f t="shared" si="37"/>
        <v>208</v>
      </c>
      <c r="G159" s="2">
        <f t="shared" si="38"/>
        <v>962.2065406515961</v>
      </c>
      <c r="I159" s="2">
        <f t="shared" si="32"/>
        <v>1545</v>
      </c>
      <c r="J159" s="13">
        <f t="shared" si="31"/>
        <v>-8.112542735929619</v>
      </c>
      <c r="K159" s="10">
        <f t="shared" si="41"/>
        <v>284.6116655534742</v>
      </c>
      <c r="L159" s="13">
        <f t="shared" si="28"/>
        <v>10.036806519249037</v>
      </c>
      <c r="M159" s="10">
        <f t="shared" si="29"/>
        <v>-3.338193480750963</v>
      </c>
      <c r="N159" s="10">
        <f t="shared" si="42"/>
        <v>263.1693970805331</v>
      </c>
      <c r="P159" s="13">
        <f t="shared" si="33"/>
        <v>1.9242637833194185</v>
      </c>
      <c r="Q159" s="13">
        <f t="shared" si="34"/>
        <v>0</v>
      </c>
    </row>
    <row r="160" spans="1:17" ht="12.75">
      <c r="A160">
        <f t="shared" si="35"/>
        <v>209</v>
      </c>
      <c r="B160" s="10">
        <f t="shared" si="43"/>
        <v>17.419354838709676</v>
      </c>
      <c r="C160" s="10">
        <f t="shared" si="36"/>
        <v>311.515308</v>
      </c>
      <c r="E160">
        <f t="shared" si="37"/>
        <v>209</v>
      </c>
      <c r="G160" s="2">
        <f t="shared" si="38"/>
        <v>962.2065406515961</v>
      </c>
      <c r="I160" s="2">
        <f t="shared" si="32"/>
        <v>1560</v>
      </c>
      <c r="J160" s="13">
        <f t="shared" si="31"/>
        <v>-8.106206476111463</v>
      </c>
      <c r="K160" s="10">
        <f t="shared" si="41"/>
        <v>284.4851977569068</v>
      </c>
      <c r="L160" s="13">
        <f t="shared" si="28"/>
        <v>10.052848724465466</v>
      </c>
      <c r="M160" s="10">
        <f t="shared" si="29"/>
        <v>-3.3221512755345337</v>
      </c>
      <c r="N160" s="10">
        <f t="shared" si="42"/>
        <v>263.0086573000942</v>
      </c>
      <c r="P160" s="13">
        <f t="shared" si="33"/>
        <v>1.9466422483540031</v>
      </c>
      <c r="Q160" s="13">
        <f t="shared" si="34"/>
        <v>0</v>
      </c>
    </row>
    <row r="161" spans="1:17" ht="12.75">
      <c r="A161">
        <f t="shared" si="35"/>
        <v>210</v>
      </c>
      <c r="B161" s="10">
        <f t="shared" si="43"/>
        <v>17.258064516129032</v>
      </c>
      <c r="C161" s="10">
        <f t="shared" si="36"/>
        <v>311.515308</v>
      </c>
      <c r="E161">
        <f t="shared" si="37"/>
        <v>210</v>
      </c>
      <c r="G161" s="2">
        <f t="shared" si="38"/>
        <v>962.2065406515961</v>
      </c>
      <c r="I161" s="2">
        <f t="shared" si="32"/>
        <v>1575</v>
      </c>
      <c r="J161" s="13">
        <f t="shared" si="31"/>
        <v>-8.099596905849817</v>
      </c>
      <c r="K161" s="10">
        <f t="shared" si="41"/>
        <v>284.3588287373621</v>
      </c>
      <c r="L161" s="13">
        <f t="shared" si="28"/>
        <v>10.068575588768732</v>
      </c>
      <c r="M161" s="10">
        <f t="shared" si="29"/>
        <v>-3.2939244112312682</v>
      </c>
      <c r="N161" s="10">
        <f t="shared" si="42"/>
        <v>262.848689979538</v>
      </c>
      <c r="P161" s="13">
        <f t="shared" si="33"/>
        <v>1.9689786829189164</v>
      </c>
      <c r="Q161" s="13">
        <f t="shared" si="34"/>
        <v>0</v>
      </c>
    </row>
    <row r="162" spans="1:17" ht="12.75">
      <c r="A162">
        <f t="shared" si="35"/>
        <v>211</v>
      </c>
      <c r="B162" s="10">
        <f t="shared" si="43"/>
        <v>17.096774193548388</v>
      </c>
      <c r="C162" s="10">
        <f t="shared" si="36"/>
        <v>311.515308</v>
      </c>
      <c r="E162">
        <f t="shared" si="37"/>
        <v>211</v>
      </c>
      <c r="G162" s="2">
        <f t="shared" si="38"/>
        <v>962.2065406515961</v>
      </c>
      <c r="I162" s="2">
        <f t="shared" si="32"/>
        <v>1590</v>
      </c>
      <c r="J162" s="13">
        <f t="shared" si="31"/>
        <v>-8.092442060718573</v>
      </c>
      <c r="K162" s="10">
        <f t="shared" si="41"/>
        <v>284.2325627555226</v>
      </c>
      <c r="L162" s="13">
        <f t="shared" si="28"/>
        <v>10.083714475196292</v>
      </c>
      <c r="M162" s="10">
        <f t="shared" si="29"/>
        <v>-3.278785524803709</v>
      </c>
      <c r="N162" s="10">
        <f t="shared" si="42"/>
        <v>262.69008183123964</v>
      </c>
      <c r="P162" s="13">
        <f t="shared" si="33"/>
        <v>1.9912724144777176</v>
      </c>
      <c r="Q162" s="13">
        <f t="shared" si="34"/>
        <v>0</v>
      </c>
    </row>
    <row r="163" spans="1:17" ht="12.75">
      <c r="A163">
        <f t="shared" si="35"/>
        <v>212</v>
      </c>
      <c r="B163" s="10">
        <f t="shared" si="43"/>
        <v>16.935483870967744</v>
      </c>
      <c r="C163" s="10">
        <f t="shared" si="36"/>
        <v>311.515308</v>
      </c>
      <c r="E163">
        <f t="shared" si="37"/>
        <v>212</v>
      </c>
      <c r="G163" s="2">
        <f t="shared" si="38"/>
        <v>962.2065406515961</v>
      </c>
      <c r="I163" s="2">
        <f t="shared" si="32"/>
        <v>1605</v>
      </c>
      <c r="J163" s="13">
        <f t="shared" si="31"/>
        <v>-8.085042327675975</v>
      </c>
      <c r="K163" s="10">
        <f t="shared" si="41"/>
        <v>284.1064083117703</v>
      </c>
      <c r="L163" s="13">
        <f t="shared" si="28"/>
        <v>10.098564353972973</v>
      </c>
      <c r="M163" s="10">
        <f t="shared" si="29"/>
        <v>-3.2639356460270275</v>
      </c>
      <c r="N163" s="10">
        <f t="shared" si="42"/>
        <v>262.5322026464644</v>
      </c>
      <c r="P163" s="13">
        <f t="shared" si="33"/>
        <v>2.0135220262969984</v>
      </c>
      <c r="Q163" s="13">
        <f t="shared" si="34"/>
        <v>0</v>
      </c>
    </row>
    <row r="164" spans="1:17" ht="12.75">
      <c r="A164">
        <f t="shared" si="35"/>
        <v>213</v>
      </c>
      <c r="B164" s="10">
        <f t="shared" si="43"/>
        <v>16.774193548387096</v>
      </c>
      <c r="C164" s="10">
        <f t="shared" si="36"/>
        <v>311.515308</v>
      </c>
      <c r="E164">
        <f t="shared" si="37"/>
        <v>213</v>
      </c>
      <c r="G164" s="2">
        <f t="shared" si="38"/>
        <v>962.2065406515961</v>
      </c>
      <c r="I164" s="2">
        <f t="shared" si="32"/>
        <v>1620</v>
      </c>
      <c r="J164" s="13">
        <f t="shared" si="31"/>
        <v>-8.077406593453198</v>
      </c>
      <c r="K164" s="10">
        <f t="shared" si="41"/>
        <v>283.980369223704</v>
      </c>
      <c r="L164" s="13">
        <f t="shared" si="28"/>
        <v>10.113133526034106</v>
      </c>
      <c r="M164" s="10">
        <f t="shared" si="29"/>
        <v>-3.2493664739658943</v>
      </c>
      <c r="N164" s="10">
        <f t="shared" si="42"/>
        <v>262.37503850899475</v>
      </c>
      <c r="P164" s="13">
        <f t="shared" si="33"/>
        <v>2.035726932580909</v>
      </c>
      <c r="Q164" s="13">
        <f t="shared" si="34"/>
        <v>0</v>
      </c>
    </row>
    <row r="165" spans="1:17" ht="12.75">
      <c r="A165">
        <f t="shared" si="35"/>
        <v>214</v>
      </c>
      <c r="B165" s="10">
        <f t="shared" si="43"/>
        <v>16.612903225806452</v>
      </c>
      <c r="C165" s="10">
        <f t="shared" si="36"/>
        <v>311.515308</v>
      </c>
      <c r="E165">
        <f t="shared" si="37"/>
        <v>214</v>
      </c>
      <c r="G165" s="2">
        <f t="shared" si="38"/>
        <v>962.2065406515961</v>
      </c>
      <c r="I165" s="2">
        <f t="shared" si="32"/>
        <v>1635</v>
      </c>
      <c r="J165" s="13">
        <f t="shared" si="31"/>
        <v>-8.06954346571036</v>
      </c>
      <c r="K165" s="10">
        <f t="shared" si="41"/>
        <v>283.854449170386</v>
      </c>
      <c r="L165" s="13">
        <f t="shared" si="28"/>
        <v>10.127430040372387</v>
      </c>
      <c r="M165" s="10">
        <f t="shared" si="29"/>
        <v>-3.235069959627614</v>
      </c>
      <c r="N165" s="10">
        <f t="shared" si="42"/>
        <v>262.2185759023177</v>
      </c>
      <c r="P165" s="13">
        <f t="shared" si="33"/>
        <v>2.0578865746620254</v>
      </c>
      <c r="Q165" s="13">
        <f t="shared" si="34"/>
        <v>0</v>
      </c>
    </row>
    <row r="166" spans="1:17" ht="12.75">
      <c r="A166">
        <f t="shared" si="35"/>
        <v>215</v>
      </c>
      <c r="B166" s="10">
        <f t="shared" si="43"/>
        <v>16.451612903225808</v>
      </c>
      <c r="C166" s="10">
        <f t="shared" si="36"/>
        <v>311.515308</v>
      </c>
      <c r="E166">
        <f t="shared" si="37"/>
        <v>215</v>
      </c>
      <c r="G166" s="2">
        <f t="shared" si="38"/>
        <v>962.2065406515961</v>
      </c>
      <c r="I166" s="2">
        <f t="shared" si="32"/>
        <v>1650</v>
      </c>
      <c r="J166" s="13">
        <f t="shared" si="31"/>
        <v>-8.061461281662021</v>
      </c>
      <c r="K166" s="10">
        <f t="shared" si="41"/>
        <v>283.72865169669217</v>
      </c>
      <c r="L166" s="13">
        <f t="shared" si="28"/>
        <v>10.141461701752803</v>
      </c>
      <c r="M166" s="10">
        <f t="shared" si="29"/>
        <v>-3.2210382982471977</v>
      </c>
      <c r="N166" s="10">
        <f t="shared" si="42"/>
        <v>262.062801697493</v>
      </c>
      <c r="P166" s="13">
        <f t="shared" si="33"/>
        <v>2.0800004200907813</v>
      </c>
      <c r="Q166" s="13">
        <f t="shared" si="34"/>
        <v>0</v>
      </c>
    </row>
    <row r="167" spans="1:17" ht="12.75">
      <c r="A167">
        <f t="shared" si="35"/>
        <v>216</v>
      </c>
      <c r="B167" s="10">
        <f t="shared" si="43"/>
        <v>16.29032258064516</v>
      </c>
      <c r="C167" s="10">
        <f t="shared" si="36"/>
        <v>311.515308</v>
      </c>
      <c r="E167">
        <f t="shared" si="37"/>
        <v>216</v>
      </c>
      <c r="G167" s="2">
        <f t="shared" si="38"/>
        <v>962.2065406515961</v>
      </c>
      <c r="I167" s="2">
        <f t="shared" si="32"/>
        <v>1665</v>
      </c>
      <c r="J167" s="13">
        <f t="shared" si="31"/>
        <v>-8.053168116436812</v>
      </c>
      <c r="K167" s="10">
        <f t="shared" si="41"/>
        <v>283.6029802175282</v>
      </c>
      <c r="L167" s="13">
        <f t="shared" si="28"/>
        <v>10.15523607819076</v>
      </c>
      <c r="M167" s="10">
        <f t="shared" si="29"/>
        <v>-3.1947639218092405</v>
      </c>
      <c r="N167" s="10">
        <f t="shared" si="42"/>
        <v>261.9077031413934</v>
      </c>
      <c r="P167" s="13">
        <f t="shared" si="33"/>
        <v>2.1020679617539484</v>
      </c>
      <c r="Q167" s="13">
        <f t="shared" si="34"/>
        <v>0</v>
      </c>
    </row>
    <row r="168" spans="1:17" ht="12.75">
      <c r="A168">
        <f t="shared" si="35"/>
        <v>217</v>
      </c>
      <c r="B168" s="10">
        <f t="shared" si="43"/>
        <v>16.129032258064516</v>
      </c>
      <c r="C168" s="10">
        <f t="shared" si="36"/>
        <v>311.515308</v>
      </c>
      <c r="E168">
        <f t="shared" si="37"/>
        <v>217</v>
      </c>
      <c r="G168" s="2">
        <f t="shared" si="38"/>
        <v>962.2065406515961</v>
      </c>
      <c r="I168" s="2">
        <f t="shared" si="32"/>
        <v>1680</v>
      </c>
      <c r="J168" s="13">
        <f t="shared" si="31"/>
        <v>-8.04439005235226</v>
      </c>
      <c r="K168" s="10">
        <f t="shared" si="41"/>
        <v>283.47743802191525</v>
      </c>
      <c r="L168" s="13">
        <f t="shared" si="28"/>
        <v>10.168478769373728</v>
      </c>
      <c r="M168" s="10">
        <f t="shared" si="29"/>
        <v>-3.181521230626272</v>
      </c>
      <c r="N168" s="10">
        <f t="shared" si="42"/>
        <v>261.75386974188956</v>
      </c>
      <c r="P168" s="13">
        <f t="shared" si="33"/>
        <v>2.1240887170214675</v>
      </c>
      <c r="Q168" s="13">
        <f t="shared" si="34"/>
        <v>0</v>
      </c>
    </row>
    <row r="169" spans="1:17" ht="12.75">
      <c r="A169">
        <f t="shared" si="35"/>
        <v>218</v>
      </c>
      <c r="B169" s="10">
        <f t="shared" si="43"/>
        <v>15.967741935483872</v>
      </c>
      <c r="C169" s="10">
        <f t="shared" si="36"/>
        <v>311.515308</v>
      </c>
      <c r="E169">
        <f t="shared" si="37"/>
        <v>218</v>
      </c>
      <c r="G169" s="2">
        <f t="shared" si="38"/>
        <v>962.2065406515961</v>
      </c>
      <c r="I169" s="2">
        <f t="shared" si="32"/>
        <v>1695</v>
      </c>
      <c r="J169" s="13">
        <f t="shared" si="31"/>
        <v>-8.0354255783851</v>
      </c>
      <c r="K169" s="10">
        <f t="shared" si="41"/>
        <v>283.35203266902334</v>
      </c>
      <c r="L169" s="13">
        <f t="shared" si="28"/>
        <v>10.181487036174014</v>
      </c>
      <c r="M169" s="10">
        <f t="shared" si="29"/>
        <v>-3.168512963825986</v>
      </c>
      <c r="N169" s="10">
        <f t="shared" si="42"/>
        <v>261.6006740008334</v>
      </c>
      <c r="P169" s="13">
        <f t="shared" si="33"/>
        <v>2.1460614577889143</v>
      </c>
      <c r="Q169" s="13">
        <f t="shared" si="34"/>
        <v>0</v>
      </c>
    </row>
    <row r="170" spans="1:17" ht="12.75">
      <c r="A170">
        <f t="shared" si="35"/>
        <v>219</v>
      </c>
      <c r="B170" s="10">
        <f t="shared" si="43"/>
        <v>15.806451612903226</v>
      </c>
      <c r="C170" s="10">
        <f t="shared" si="36"/>
        <v>311.515308</v>
      </c>
      <c r="E170">
        <f t="shared" si="37"/>
        <v>219</v>
      </c>
      <c r="G170" s="2">
        <f t="shared" si="38"/>
        <v>962.2065406515961</v>
      </c>
      <c r="I170" s="2">
        <f t="shared" si="32"/>
        <v>1710</v>
      </c>
      <c r="J170" s="13">
        <f t="shared" si="31"/>
        <v>-8.026281747073922</v>
      </c>
      <c r="K170" s="10">
        <f t="shared" si="41"/>
        <v>283.22676706482764</v>
      </c>
      <c r="L170" s="13">
        <f t="shared" si="28"/>
        <v>10.194267522551316</v>
      </c>
      <c r="M170" s="10">
        <f t="shared" si="29"/>
        <v>-3.1557324774486837</v>
      </c>
      <c r="N170" s="10">
        <f t="shared" si="42"/>
        <v>261.4481046302862</v>
      </c>
      <c r="P170" s="13">
        <f t="shared" si="33"/>
        <v>2.1679857754773937</v>
      </c>
      <c r="Q170" s="13">
        <f t="shared" si="34"/>
        <v>0</v>
      </c>
    </row>
    <row r="171" spans="1:17" ht="12.75">
      <c r="A171">
        <f t="shared" si="35"/>
        <v>220</v>
      </c>
      <c r="B171" s="10">
        <f t="shared" si="43"/>
        <v>15.64516129032258</v>
      </c>
      <c r="C171" s="10">
        <f t="shared" si="36"/>
        <v>311.515308</v>
      </c>
      <c r="E171">
        <f t="shared" si="37"/>
        <v>220</v>
      </c>
      <c r="G171" s="2">
        <f t="shared" si="38"/>
        <v>962.2065406515961</v>
      </c>
      <c r="I171" s="2">
        <f t="shared" si="32"/>
        <v>1725</v>
      </c>
      <c r="J171" s="13">
        <f t="shared" si="31"/>
        <v>-8.016965388553782</v>
      </c>
      <c r="K171" s="10">
        <f t="shared" si="41"/>
        <v>283.10164400536</v>
      </c>
      <c r="L171" s="13">
        <f t="shared" si="28"/>
        <v>10.206826671253683</v>
      </c>
      <c r="M171" s="10">
        <f t="shared" si="29"/>
        <v>-3.1431733287463164</v>
      </c>
      <c r="N171" s="10">
        <f t="shared" si="42"/>
        <v>261.29615066222715</v>
      </c>
      <c r="P171" s="13">
        <f t="shared" si="33"/>
        <v>2.1898612826999004</v>
      </c>
      <c r="Q171" s="13">
        <f t="shared" si="34"/>
        <v>0</v>
      </c>
    </row>
    <row r="172" spans="1:17" ht="12.75">
      <c r="A172">
        <f t="shared" si="35"/>
        <v>221</v>
      </c>
      <c r="B172" s="10">
        <f t="shared" si="43"/>
        <v>15.483870967741936</v>
      </c>
      <c r="C172" s="10">
        <f t="shared" si="36"/>
        <v>311.515308</v>
      </c>
      <c r="E172">
        <f t="shared" si="37"/>
        <v>221</v>
      </c>
      <c r="G172" s="2">
        <f t="shared" si="38"/>
        <v>962.2065406515961</v>
      </c>
      <c r="I172" s="2">
        <f t="shared" si="32"/>
        <v>1740</v>
      </c>
      <c r="J172" s="13">
        <f t="shared" si="31"/>
        <v>-8.007483117434404</v>
      </c>
      <c r="K172" s="10">
        <f t="shared" si="41"/>
        <v>282.97666618017615</v>
      </c>
      <c r="L172" s="13">
        <f aca="true" t="shared" si="44" ref="L172:L235">(K172-N172)/D$12</f>
        <v>10.219170729975387</v>
      </c>
      <c r="M172" s="10">
        <f t="shared" si="29"/>
        <v>-3.1308292700246128</v>
      </c>
      <c r="N172" s="10">
        <f t="shared" si="42"/>
        <v>261.1448014388651</v>
      </c>
      <c r="P172" s="13">
        <f t="shared" si="33"/>
        <v>2.211687612540983</v>
      </c>
      <c r="Q172" s="13">
        <f t="shared" si="34"/>
        <v>0</v>
      </c>
    </row>
    <row r="173" spans="1:17" ht="12.75">
      <c r="A173">
        <f t="shared" si="35"/>
        <v>222</v>
      </c>
      <c r="B173" s="10">
        <f t="shared" si="43"/>
        <v>15.322580645161292</v>
      </c>
      <c r="C173" s="10">
        <f t="shared" si="36"/>
        <v>311.515308</v>
      </c>
      <c r="E173">
        <f t="shared" si="37"/>
        <v>222</v>
      </c>
      <c r="G173" s="2">
        <f t="shared" si="38"/>
        <v>962.2065406515961</v>
      </c>
      <c r="I173" s="2">
        <f t="shared" si="32"/>
        <v>1755</v>
      </c>
      <c r="J173" s="13">
        <f t="shared" si="31"/>
        <v>-7.997841339466596</v>
      </c>
      <c r="K173" s="10">
        <f t="shared" si="41"/>
        <v>282.8518361757156</v>
      </c>
      <c r="L173" s="13">
        <f t="shared" si="44"/>
        <v>10.23130575732619</v>
      </c>
      <c r="M173" s="10">
        <f t="shared" si="29"/>
        <v>-3.1061942426738103</v>
      </c>
      <c r="N173" s="10">
        <f t="shared" si="42"/>
        <v>260.99404660324603</v>
      </c>
      <c r="P173" s="13">
        <f t="shared" si="33"/>
        <v>2.2334644178595937</v>
      </c>
      <c r="Q173" s="13">
        <f t="shared" si="34"/>
        <v>0</v>
      </c>
    </row>
    <row r="174" spans="1:17" ht="12.75">
      <c r="A174">
        <f t="shared" si="35"/>
        <v>223</v>
      </c>
      <c r="B174" s="10">
        <f t="shared" si="43"/>
        <v>15.161290322580644</v>
      </c>
      <c r="C174" s="10">
        <f t="shared" si="36"/>
        <v>311.515308</v>
      </c>
      <c r="E174">
        <f t="shared" si="37"/>
        <v>223</v>
      </c>
      <c r="G174" s="2">
        <f t="shared" si="38"/>
        <v>962.2065406515961</v>
      </c>
      <c r="I174" s="2">
        <f t="shared" si="32"/>
        <v>1770</v>
      </c>
      <c r="J174" s="13">
        <f t="shared" si="31"/>
        <v>-7.9877645191756095</v>
      </c>
      <c r="K174" s="10">
        <f t="shared" si="41"/>
        <v>282.7271564785575</v>
      </c>
      <c r="L174" s="13">
        <f t="shared" si="44"/>
        <v>10.242955889790055</v>
      </c>
      <c r="M174" s="10">
        <f aca="true" t="shared" si="45" ref="M174:M237">L174-VLOOKUP(N174,A$44:C$251,2,TRUE)</f>
        <v>-3.094544110209945</v>
      </c>
      <c r="N174" s="10">
        <f t="shared" si="42"/>
        <v>260.8444779867333</v>
      </c>
      <c r="P174" s="13">
        <f t="shared" si="33"/>
        <v>2.255191370614446</v>
      </c>
      <c r="Q174" s="13">
        <f t="shared" si="34"/>
        <v>0</v>
      </c>
    </row>
    <row r="175" spans="1:17" ht="12.75">
      <c r="A175" s="14">
        <f t="shared" si="35"/>
        <v>224</v>
      </c>
      <c r="B175" s="14">
        <v>15</v>
      </c>
      <c r="C175" s="10">
        <f t="shared" si="36"/>
        <v>311.515308</v>
      </c>
      <c r="E175" s="14">
        <f t="shared" si="37"/>
        <v>224</v>
      </c>
      <c r="G175" s="2">
        <f t="shared" si="38"/>
        <v>962.2065406515961</v>
      </c>
      <c r="I175" s="2">
        <f t="shared" si="32"/>
        <v>1785</v>
      </c>
      <c r="J175" s="13">
        <f t="shared" si="31"/>
        <v>-7.9775495727358505</v>
      </c>
      <c r="K175" s="10">
        <f t="shared" si="41"/>
        <v>282.60263387065</v>
      </c>
      <c r="L175" s="13">
        <f t="shared" si="44"/>
        <v>10.254416969820186</v>
      </c>
      <c r="M175" s="10">
        <f t="shared" si="45"/>
        <v>-3.0830830301798144</v>
      </c>
      <c r="N175" s="10">
        <f t="shared" si="42"/>
        <v>260.69547034421595</v>
      </c>
      <c r="P175" s="13">
        <f t="shared" si="33"/>
        <v>2.2768673970843354</v>
      </c>
      <c r="Q175" s="13">
        <f t="shared" si="34"/>
        <v>0</v>
      </c>
    </row>
    <row r="176" spans="1:17" ht="12.75">
      <c r="A176">
        <f t="shared" si="35"/>
        <v>225</v>
      </c>
      <c r="B176" s="10">
        <f>(A176-A$175)/(A$184-A$175)*(B$184-B$175)+B$175</f>
        <v>14.777777777777779</v>
      </c>
      <c r="C176" s="10">
        <f t="shared" si="36"/>
        <v>311.515308</v>
      </c>
      <c r="E176">
        <f t="shared" si="37"/>
        <v>225</v>
      </c>
      <c r="G176" s="2">
        <f t="shared" si="38"/>
        <v>962.2065406515961</v>
      </c>
      <c r="I176" s="2">
        <f t="shared" si="32"/>
        <v>1800</v>
      </c>
      <c r="J176" s="13">
        <f t="shared" si="31"/>
        <v>-7.967202033585872</v>
      </c>
      <c r="K176" s="10">
        <f t="shared" si="41"/>
        <v>282.47827050526485</v>
      </c>
      <c r="L176" s="13">
        <f t="shared" si="44"/>
        <v>10.26569426640391</v>
      </c>
      <c r="M176" s="10">
        <f t="shared" si="45"/>
        <v>-3.07180573359609</v>
      </c>
      <c r="N176" s="10">
        <f t="shared" si="42"/>
        <v>260.54701457249286</v>
      </c>
      <c r="P176" s="13">
        <f t="shared" si="33"/>
        <v>2.2984922328180377</v>
      </c>
      <c r="Q176" s="13">
        <f t="shared" si="34"/>
        <v>0</v>
      </c>
    </row>
    <row r="177" spans="1:17" ht="12.75">
      <c r="A177">
        <f t="shared" si="35"/>
        <v>226</v>
      </c>
      <c r="B177" s="10">
        <f aca="true" t="shared" si="46" ref="B177:B183">(A177-A$175)/(A$184-A$175)*(B$184-B$175)+B$175</f>
        <v>14.555555555555555</v>
      </c>
      <c r="C177" s="10">
        <f t="shared" si="36"/>
        <v>311.515308</v>
      </c>
      <c r="E177">
        <f t="shared" si="37"/>
        <v>226</v>
      </c>
      <c r="G177" s="2">
        <f t="shared" si="38"/>
        <v>962.2065406515961</v>
      </c>
      <c r="I177" s="2">
        <f t="shared" si="32"/>
        <v>1815</v>
      </c>
      <c r="J177" s="13">
        <f t="shared" si="31"/>
        <v>-7.9567272597107195</v>
      </c>
      <c r="K177" s="10">
        <f t="shared" si="41"/>
        <v>282.3540684494122</v>
      </c>
      <c r="L177" s="13">
        <f t="shared" si="44"/>
        <v>10.27679288939248</v>
      </c>
      <c r="M177" s="10">
        <f t="shared" si="45"/>
        <v>-3.0607071106075203</v>
      </c>
      <c r="N177" s="10">
        <f t="shared" si="42"/>
        <v>260.3991018220737</v>
      </c>
      <c r="P177" s="13">
        <f t="shared" si="33"/>
        <v>2.3200656296817606</v>
      </c>
      <c r="Q177" s="13">
        <f t="shared" si="34"/>
        <v>0</v>
      </c>
    </row>
    <row r="178" spans="1:17" ht="12.75">
      <c r="A178">
        <f t="shared" si="35"/>
        <v>227</v>
      </c>
      <c r="B178" s="10">
        <f t="shared" si="46"/>
        <v>14.333333333333334</v>
      </c>
      <c r="C178" s="10">
        <f t="shared" si="36"/>
        <v>311.515308</v>
      </c>
      <c r="E178">
        <f t="shared" si="37"/>
        <v>227</v>
      </c>
      <c r="G178" s="2">
        <f t="shared" si="38"/>
        <v>962.2065406515961</v>
      </c>
      <c r="I178" s="2">
        <f t="shared" si="32"/>
        <v>1830</v>
      </c>
      <c r="J178" s="13">
        <f t="shared" si="31"/>
        <v>-7.946130439072448</v>
      </c>
      <c r="K178" s="10">
        <f t="shared" si="41"/>
        <v>282.2300296865756</v>
      </c>
      <c r="L178" s="13">
        <f t="shared" si="44"/>
        <v>10.287717794368149</v>
      </c>
      <c r="M178" s="10">
        <f t="shared" si="45"/>
        <v>-3.0497822056318515</v>
      </c>
      <c r="N178" s="10">
        <f t="shared" si="42"/>
        <v>260.2517234895164</v>
      </c>
      <c r="P178" s="13">
        <f t="shared" si="33"/>
        <v>2.3415873552957005</v>
      </c>
      <c r="Q178" s="13">
        <f t="shared" si="34"/>
        <v>0</v>
      </c>
    </row>
    <row r="179" spans="1:17" ht="12.75">
      <c r="A179">
        <f t="shared" si="35"/>
        <v>228</v>
      </c>
      <c r="B179" s="10">
        <f t="shared" si="46"/>
        <v>14.11111111111111</v>
      </c>
      <c r="C179" s="10">
        <f t="shared" si="36"/>
        <v>311.515308</v>
      </c>
      <c r="E179">
        <f t="shared" si="37"/>
        <v>228</v>
      </c>
      <c r="G179" s="2">
        <f t="shared" si="38"/>
        <v>962.2065406515961</v>
      </c>
      <c r="I179" s="2">
        <f t="shared" si="32"/>
        <v>1845</v>
      </c>
      <c r="J179" s="13">
        <f t="shared" si="31"/>
        <v>-7.93541659487307</v>
      </c>
      <c r="K179" s="10">
        <f t="shared" si="41"/>
        <v>282.1061561193627</v>
      </c>
      <c r="L179" s="13">
        <f t="shared" si="44"/>
        <v>10.298473787361907</v>
      </c>
      <c r="M179" s="10">
        <f t="shared" si="45"/>
        <v>-3.0390262126380936</v>
      </c>
      <c r="N179" s="10">
        <f t="shared" si="42"/>
        <v>260.10487120999863</v>
      </c>
      <c r="P179" s="13">
        <f t="shared" si="33"/>
        <v>2.363057192488837</v>
      </c>
      <c r="Q179" s="13">
        <f t="shared" si="34"/>
        <v>0</v>
      </c>
    </row>
    <row r="180" spans="1:17" ht="12.75">
      <c r="A180">
        <f t="shared" si="35"/>
        <v>229</v>
      </c>
      <c r="B180" s="10">
        <f t="shared" si="46"/>
        <v>13.88888888888889</v>
      </c>
      <c r="C180" s="10">
        <f t="shared" si="36"/>
        <v>311.515308</v>
      </c>
      <c r="E180">
        <f t="shared" si="37"/>
        <v>229</v>
      </c>
      <c r="G180" s="2">
        <f t="shared" si="38"/>
        <v>962.2065406515961</v>
      </c>
      <c r="I180" s="2">
        <f t="shared" si="32"/>
        <v>1860</v>
      </c>
      <c r="J180" s="13">
        <f t="shared" si="31"/>
        <v>-7.924590590655211</v>
      </c>
      <c r="K180" s="10">
        <f t="shared" si="41"/>
        <v>281.9824495720735</v>
      </c>
      <c r="L180" s="13">
        <f t="shared" si="44"/>
        <v>10.309065529426551</v>
      </c>
      <c r="M180" s="10">
        <f t="shared" si="45"/>
        <v>-3.0159344705734483</v>
      </c>
      <c r="N180" s="10">
        <f t="shared" si="42"/>
        <v>259.9585368501168</v>
      </c>
      <c r="P180" s="13">
        <f t="shared" si="33"/>
        <v>2.3844749387713398</v>
      </c>
      <c r="Q180" s="13">
        <f t="shared" si="34"/>
        <v>0</v>
      </c>
    </row>
    <row r="181" spans="1:17" ht="12.75">
      <c r="A181">
        <f t="shared" si="35"/>
        <v>230</v>
      </c>
      <c r="B181" s="10">
        <f t="shared" si="46"/>
        <v>13.666666666666666</v>
      </c>
      <c r="C181" s="10">
        <f t="shared" si="36"/>
        <v>311.515308</v>
      </c>
      <c r="E181">
        <f t="shared" si="37"/>
        <v>230</v>
      </c>
      <c r="G181" s="2">
        <f t="shared" si="38"/>
        <v>962.2065406515961</v>
      </c>
      <c r="I181" s="2">
        <f t="shared" si="32"/>
        <v>1875</v>
      </c>
      <c r="J181" s="13">
        <f t="shared" si="31"/>
        <v>-7.913375396418201</v>
      </c>
      <c r="K181" s="10">
        <f t="shared" si="41"/>
        <v>281.8589117931894</v>
      </c>
      <c r="L181" s="13">
        <f t="shared" si="44"/>
        <v>10.319215802242361</v>
      </c>
      <c r="M181" s="10">
        <f t="shared" si="45"/>
        <v>-3.005784197757638</v>
      </c>
      <c r="N181" s="10">
        <f t="shared" si="42"/>
        <v>259.8133143974898</v>
      </c>
      <c r="P181" s="13">
        <f t="shared" si="33"/>
        <v>2.4058404058241605</v>
      </c>
      <c r="Q181" s="13">
        <f t="shared" si="34"/>
        <v>0</v>
      </c>
    </row>
    <row r="182" spans="1:17" ht="12.75">
      <c r="A182">
        <f t="shared" si="35"/>
        <v>231</v>
      </c>
      <c r="B182" s="10">
        <f t="shared" si="46"/>
        <v>13.444444444444445</v>
      </c>
      <c r="C182" s="10">
        <f t="shared" si="36"/>
        <v>311.515308</v>
      </c>
      <c r="E182">
        <f t="shared" si="37"/>
        <v>231</v>
      </c>
      <c r="G182" s="2">
        <f t="shared" si="38"/>
        <v>962.2065406515961</v>
      </c>
      <c r="I182" s="2">
        <f t="shared" si="32"/>
        <v>1890</v>
      </c>
      <c r="J182" s="13">
        <f t="shared" si="31"/>
        <v>-7.902066474264349</v>
      </c>
      <c r="K182" s="10">
        <f t="shared" si="41"/>
        <v>281.7355488498593</v>
      </c>
      <c r="L182" s="13">
        <f t="shared" si="44"/>
        <v>10.329219134900558</v>
      </c>
      <c r="M182" s="10">
        <f t="shared" si="45"/>
        <v>-2.995780865099441</v>
      </c>
      <c r="N182" s="10">
        <f t="shared" si="42"/>
        <v>259.6685806980263</v>
      </c>
      <c r="P182" s="13">
        <f t="shared" si="33"/>
        <v>2.4271526606362093</v>
      </c>
      <c r="Q182" s="13">
        <f t="shared" si="34"/>
        <v>0</v>
      </c>
    </row>
    <row r="183" spans="1:17" ht="12.75">
      <c r="A183">
        <f t="shared" si="35"/>
        <v>232</v>
      </c>
      <c r="B183" s="10">
        <f t="shared" si="46"/>
        <v>13.222222222222221</v>
      </c>
      <c r="C183" s="10">
        <f t="shared" si="36"/>
        <v>311.515308</v>
      </c>
      <c r="E183">
        <f t="shared" si="37"/>
        <v>232</v>
      </c>
      <c r="G183" s="2">
        <f t="shared" si="38"/>
        <v>962.2065406515961</v>
      </c>
      <c r="I183" s="2">
        <f t="shared" si="32"/>
        <v>1905</v>
      </c>
      <c r="J183" s="13">
        <f t="shared" si="31"/>
        <v>-7.890667954387554</v>
      </c>
      <c r="K183" s="10">
        <f t="shared" si="41"/>
        <v>281.6123622032234</v>
      </c>
      <c r="L183" s="13">
        <f t="shared" si="44"/>
        <v>10.339079523238944</v>
      </c>
      <c r="M183" s="10">
        <f t="shared" si="45"/>
        <v>-2.9859204767610557</v>
      </c>
      <c r="N183" s="10">
        <f t="shared" si="42"/>
        <v>259.52432867630387</v>
      </c>
      <c r="P183" s="13">
        <f t="shared" si="33"/>
        <v>2.448411568851389</v>
      </c>
      <c r="Q183" s="13">
        <f t="shared" si="34"/>
        <v>0</v>
      </c>
    </row>
    <row r="184" spans="1:17" ht="12.75">
      <c r="A184" s="14">
        <f t="shared" si="35"/>
        <v>233</v>
      </c>
      <c r="B184" s="14">
        <v>13</v>
      </c>
      <c r="C184" s="10">
        <f t="shared" si="36"/>
        <v>311.515308</v>
      </c>
      <c r="E184" s="14">
        <f t="shared" si="37"/>
        <v>233</v>
      </c>
      <c r="G184" s="2">
        <f t="shared" si="38"/>
        <v>962.2065406515961</v>
      </c>
      <c r="I184" s="2">
        <f t="shared" si="32"/>
        <v>1920</v>
      </c>
      <c r="J184" s="13">
        <f aca="true" t="shared" si="47" ref="J184:J247">(D$7-K184)*(1/D$13+1/D$14)+D$16*(D$19*D$21*D$17+D$20*D$22*D$18)*(D$7^4-K184^4)-(K184-N184)/D$12</f>
        <v>-7.8791838349227</v>
      </c>
      <c r="K184" s="10">
        <f t="shared" si="41"/>
        <v>281.48935325003583</v>
      </c>
      <c r="L184" s="13">
        <f t="shared" si="44"/>
        <v>10.348800842894505</v>
      </c>
      <c r="M184" s="10">
        <f t="shared" si="45"/>
        <v>-2.976199157105494</v>
      </c>
      <c r="N184" s="10">
        <f t="shared" si="42"/>
        <v>259.38055144930667</v>
      </c>
      <c r="P184" s="13">
        <f t="shared" si="33"/>
        <v>2.469617007971805</v>
      </c>
      <c r="Q184" s="13">
        <f t="shared" si="34"/>
        <v>0</v>
      </c>
    </row>
    <row r="185" spans="1:17" ht="12.75">
      <c r="A185">
        <f t="shared" si="35"/>
        <v>234</v>
      </c>
      <c r="B185" s="10">
        <f>(A185-A$184)/(A$224-A$184)*(B$224-B$184)+B$184</f>
        <v>13.0125</v>
      </c>
      <c r="C185" s="10">
        <f t="shared" si="36"/>
        <v>311.515308</v>
      </c>
      <c r="E185">
        <f t="shared" si="37"/>
        <v>234</v>
      </c>
      <c r="G185" s="2">
        <f t="shared" si="38"/>
        <v>962.2065406515961</v>
      </c>
      <c r="I185" s="2">
        <f aca="true" t="shared" si="48" ref="I185:I248">I184+I$41</f>
        <v>1935</v>
      </c>
      <c r="J185" s="13">
        <f t="shared" si="47"/>
        <v>-7.867617986037665</v>
      </c>
      <c r="K185" s="10">
        <f t="shared" si="41"/>
        <v>281.3665233247229</v>
      </c>
      <c r="L185" s="13">
        <f t="shared" si="44"/>
        <v>10.358386852976139</v>
      </c>
      <c r="M185" s="10">
        <f t="shared" si="45"/>
        <v>-2.9666131470238604</v>
      </c>
      <c r="N185" s="10">
        <f t="shared" si="42"/>
        <v>259.2372423206375</v>
      </c>
      <c r="P185" s="13">
        <f aca="true" t="shared" si="49" ref="P185:P248">(D$7-K185)*(1/D$13+1/D$14)+D$16*(D$19*D$21*D$17+D$20*D$22*D$18)*(D$7^4-K185^4)</f>
        <v>2.490768866938474</v>
      </c>
      <c r="Q185" s="13">
        <f aca="true" t="shared" si="50" ref="Q185:Q248">IF(K185=D$8,-J185,0)</f>
        <v>0</v>
      </c>
    </row>
    <row r="186" spans="1:17" ht="12.75">
      <c r="A186">
        <f aca="true" t="shared" si="51" ref="A186:A249">A185+1</f>
        <v>235</v>
      </c>
      <c r="B186" s="10">
        <f aca="true" t="shared" si="52" ref="B186:B223">(A186-A$184)/(A$224-A$184)*(B$224-B$184)+B$184</f>
        <v>13.025</v>
      </c>
      <c r="C186" s="10">
        <f aca="true" t="shared" si="53" ref="C186:C249">C185</f>
        <v>311.515308</v>
      </c>
      <c r="E186">
        <f aca="true" t="shared" si="54" ref="E186:E249">E185+1</f>
        <v>235</v>
      </c>
      <c r="G186" s="2">
        <f aca="true" t="shared" si="55" ref="G186:G249">G185</f>
        <v>962.2065406515961</v>
      </c>
      <c r="I186" s="2">
        <f t="shared" si="48"/>
        <v>1950</v>
      </c>
      <c r="J186" s="13">
        <f t="shared" si="47"/>
        <v>-7.855974153899359</v>
      </c>
      <c r="K186" s="10">
        <f t="shared" si="41"/>
        <v>281.24387370137833</v>
      </c>
      <c r="L186" s="13">
        <f t="shared" si="44"/>
        <v>10.367841199625007</v>
      </c>
      <c r="M186" s="10">
        <f t="shared" si="45"/>
        <v>-2.9571588003749927</v>
      </c>
      <c r="N186" s="10">
        <f t="shared" si="42"/>
        <v>259.09439477490673</v>
      </c>
      <c r="P186" s="13">
        <f t="shared" si="49"/>
        <v>2.5118670457256482</v>
      </c>
      <c r="Q186" s="13">
        <f t="shared" si="50"/>
        <v>0</v>
      </c>
    </row>
    <row r="187" spans="1:17" ht="12.75">
      <c r="A187">
        <f t="shared" si="51"/>
        <v>236</v>
      </c>
      <c r="B187" s="10">
        <f t="shared" si="52"/>
        <v>13.0375</v>
      </c>
      <c r="C187" s="10">
        <f t="shared" si="53"/>
        <v>311.515308</v>
      </c>
      <c r="E187">
        <f t="shared" si="54"/>
        <v>236</v>
      </c>
      <c r="G187" s="2">
        <f t="shared" si="55"/>
        <v>962.2065406515961</v>
      </c>
      <c r="I187" s="2">
        <f t="shared" si="48"/>
        <v>1965</v>
      </c>
      <c r="J187" s="13">
        <f t="shared" si="47"/>
        <v>-7.844255964517149</v>
      </c>
      <c r="K187" s="10">
        <f t="shared" si="41"/>
        <v>281.1214055956963</v>
      </c>
      <c r="L187" s="13">
        <f t="shared" si="44"/>
        <v>10.377167419465481</v>
      </c>
      <c r="M187" s="10">
        <f t="shared" si="45"/>
        <v>-2.935332580534519</v>
      </c>
      <c r="N187" s="10">
        <f t="shared" si="42"/>
        <v>258.95200247229275</v>
      </c>
      <c r="P187" s="13">
        <f t="shared" si="49"/>
        <v>2.5329114549483314</v>
      </c>
      <c r="Q187" s="13">
        <f t="shared" si="50"/>
        <v>0</v>
      </c>
    </row>
    <row r="188" spans="1:17" ht="12.75">
      <c r="A188">
        <f t="shared" si="51"/>
        <v>237</v>
      </c>
      <c r="B188" s="10">
        <f t="shared" si="52"/>
        <v>13.05</v>
      </c>
      <c r="C188" s="10">
        <f t="shared" si="53"/>
        <v>311.515308</v>
      </c>
      <c r="E188">
        <f t="shared" si="54"/>
        <v>237</v>
      </c>
      <c r="G188" s="2">
        <f t="shared" si="55"/>
        <v>962.2065406515961</v>
      </c>
      <c r="I188" s="2">
        <f t="shared" si="48"/>
        <v>1980</v>
      </c>
      <c r="J188" s="13">
        <f t="shared" si="47"/>
        <v>-7.832185188640803</v>
      </c>
      <c r="K188" s="10">
        <f t="shared" si="41"/>
        <v>280.9991201668443</v>
      </c>
      <c r="L188" s="13">
        <f t="shared" si="44"/>
        <v>10.386087204123466</v>
      </c>
      <c r="M188" s="10">
        <f t="shared" si="45"/>
        <v>-2.9264127958765336</v>
      </c>
      <c r="N188" s="10">
        <f t="shared" si="42"/>
        <v>258.81066113985327</v>
      </c>
      <c r="P188" s="13">
        <f t="shared" si="49"/>
        <v>2.5539020154826626</v>
      </c>
      <c r="Q188" s="13">
        <f t="shared" si="50"/>
        <v>0</v>
      </c>
    </row>
    <row r="189" spans="1:17" ht="12.75">
      <c r="A189">
        <f t="shared" si="51"/>
        <v>238</v>
      </c>
      <c r="B189" s="10">
        <f t="shared" si="52"/>
        <v>13.0625</v>
      </c>
      <c r="C189" s="10">
        <f t="shared" si="53"/>
        <v>311.515308</v>
      </c>
      <c r="E189">
        <f t="shared" si="54"/>
        <v>238</v>
      </c>
      <c r="G189" s="2">
        <f t="shared" si="55"/>
        <v>962.2065406515961</v>
      </c>
      <c r="I189" s="2">
        <f t="shared" si="48"/>
        <v>1995</v>
      </c>
      <c r="J189" s="13">
        <f t="shared" si="47"/>
        <v>-7.82005612055953</v>
      </c>
      <c r="K189" s="10">
        <f t="shared" si="41"/>
        <v>280.8770229113527</v>
      </c>
      <c r="L189" s="13">
        <f t="shared" si="44"/>
        <v>10.394894025955564</v>
      </c>
      <c r="M189" s="10">
        <f t="shared" si="45"/>
        <v>-2.9176059740444362</v>
      </c>
      <c r="N189" s="10">
        <f t="shared" si="42"/>
        <v>258.6697493104476</v>
      </c>
      <c r="P189" s="13">
        <f t="shared" si="49"/>
        <v>2.5748379053960337</v>
      </c>
      <c r="Q189" s="13">
        <f t="shared" si="50"/>
        <v>0</v>
      </c>
    </row>
    <row r="190" spans="1:17" ht="12.75">
      <c r="A190">
        <f t="shared" si="51"/>
        <v>239</v>
      </c>
      <c r="B190" s="10">
        <f t="shared" si="52"/>
        <v>13.075</v>
      </c>
      <c r="C190" s="10">
        <f t="shared" si="53"/>
        <v>311.515308</v>
      </c>
      <c r="E190">
        <f t="shared" si="54"/>
        <v>239</v>
      </c>
      <c r="G190" s="2">
        <f t="shared" si="55"/>
        <v>962.2065406515961</v>
      </c>
      <c r="I190" s="2">
        <f t="shared" si="48"/>
        <v>2010</v>
      </c>
      <c r="J190" s="13">
        <f t="shared" si="47"/>
        <v>-7.807871764559518</v>
      </c>
      <c r="K190" s="10">
        <f t="shared" si="41"/>
        <v>280.75511473794853</v>
      </c>
      <c r="L190" s="13">
        <f t="shared" si="44"/>
        <v>10.403590856404533</v>
      </c>
      <c r="M190" s="10">
        <f t="shared" si="45"/>
        <v>-2.9089091435954675</v>
      </c>
      <c r="N190" s="10">
        <f t="shared" si="42"/>
        <v>258.52926154472067</v>
      </c>
      <c r="P190" s="13">
        <f t="shared" si="49"/>
        <v>2.595719091845014</v>
      </c>
      <c r="Q190" s="13">
        <f t="shared" si="50"/>
        <v>0</v>
      </c>
    </row>
    <row r="191" spans="1:17" ht="12.75">
      <c r="A191">
        <f t="shared" si="51"/>
        <v>240</v>
      </c>
      <c r="B191" s="10">
        <f t="shared" si="52"/>
        <v>13.0875</v>
      </c>
      <c r="C191" s="10">
        <f t="shared" si="53"/>
        <v>311.515308</v>
      </c>
      <c r="E191">
        <f t="shared" si="54"/>
        <v>240</v>
      </c>
      <c r="G191" s="2">
        <f t="shared" si="55"/>
        <v>962.2065406515961</v>
      </c>
      <c r="I191" s="2">
        <f t="shared" si="48"/>
        <v>2025</v>
      </c>
      <c r="J191" s="13">
        <f t="shared" si="47"/>
        <v>-7.79563502770629</v>
      </c>
      <c r="K191" s="10">
        <f t="shared" si="41"/>
        <v>280.6333965085244</v>
      </c>
      <c r="L191" s="13">
        <f t="shared" si="44"/>
        <v>10.412180578016903</v>
      </c>
      <c r="M191" s="10">
        <f t="shared" si="45"/>
        <v>-2.900319421983097</v>
      </c>
      <c r="N191" s="10">
        <f t="shared" si="42"/>
        <v>258.3891925463974</v>
      </c>
      <c r="P191" s="13">
        <f t="shared" si="49"/>
        <v>2.6165455503106134</v>
      </c>
      <c r="Q191" s="13">
        <f t="shared" si="50"/>
        <v>0</v>
      </c>
    </row>
    <row r="192" spans="1:17" ht="12.75">
      <c r="A192">
        <f t="shared" si="51"/>
        <v>241</v>
      </c>
      <c r="B192" s="10">
        <f t="shared" si="52"/>
        <v>13.1</v>
      </c>
      <c r="C192" s="10">
        <f t="shared" si="53"/>
        <v>311.515308</v>
      </c>
      <c r="E192">
        <f t="shared" si="54"/>
        <v>241</v>
      </c>
      <c r="G192" s="2">
        <f t="shared" si="55"/>
        <v>962.2065406515961</v>
      </c>
      <c r="I192" s="2">
        <f t="shared" si="48"/>
        <v>2040</v>
      </c>
      <c r="J192" s="13">
        <f t="shared" si="47"/>
        <v>-7.783348722862693</v>
      </c>
      <c r="K192" s="10">
        <f t="shared" si="41"/>
        <v>280.51186903965436</v>
      </c>
      <c r="L192" s="13">
        <f t="shared" si="44"/>
        <v>10.420665987156264</v>
      </c>
      <c r="M192" s="10">
        <f t="shared" si="45"/>
        <v>-2.891834012843736</v>
      </c>
      <c r="N192" s="10">
        <f t="shared" si="42"/>
        <v>258.24953715800234</v>
      </c>
      <c r="P192" s="13">
        <f t="shared" si="49"/>
        <v>2.6373172642935705</v>
      </c>
      <c r="Q192" s="13">
        <f t="shared" si="50"/>
        <v>0</v>
      </c>
    </row>
    <row r="193" spans="1:17" ht="12.75">
      <c r="A193">
        <f t="shared" si="51"/>
        <v>242</v>
      </c>
      <c r="B193" s="10">
        <f t="shared" si="52"/>
        <v>13.1125</v>
      </c>
      <c r="C193" s="10">
        <f t="shared" si="53"/>
        <v>311.515308</v>
      </c>
      <c r="E193">
        <f t="shared" si="54"/>
        <v>242</v>
      </c>
      <c r="G193" s="2">
        <f t="shared" si="55"/>
        <v>962.2065406515961</v>
      </c>
      <c r="I193" s="2">
        <f t="shared" si="48"/>
        <v>2055</v>
      </c>
      <c r="J193" s="13">
        <f t="shared" si="47"/>
        <v>-7.771015571613223</v>
      </c>
      <c r="K193" s="10">
        <f t="shared" si="41"/>
        <v>280.3905331040621</v>
      </c>
      <c r="L193" s="13">
        <f t="shared" si="44"/>
        <v>10.429049796632993</v>
      </c>
      <c r="M193" s="10">
        <f t="shared" si="45"/>
        <v>-2.8834502033670066</v>
      </c>
      <c r="N193" s="10">
        <f t="shared" si="42"/>
        <v>258.1102903567098</v>
      </c>
      <c r="P193" s="13">
        <f t="shared" si="49"/>
        <v>2.65803422501977</v>
      </c>
      <c r="Q193" s="13">
        <f t="shared" si="50"/>
        <v>0</v>
      </c>
    </row>
    <row r="194" spans="1:17" ht="12.75">
      <c r="A194">
        <f t="shared" si="51"/>
        <v>243</v>
      </c>
      <c r="B194" s="10">
        <f t="shared" si="52"/>
        <v>13.125</v>
      </c>
      <c r="C194" s="10">
        <f t="shared" si="53"/>
        <v>311.515308</v>
      </c>
      <c r="E194">
        <f t="shared" si="54"/>
        <v>243</v>
      </c>
      <c r="G194" s="2">
        <f t="shared" si="55"/>
        <v>962.2065406515961</v>
      </c>
      <c r="I194" s="2">
        <f t="shared" si="48"/>
        <v>2070</v>
      </c>
      <c r="J194" s="13">
        <f t="shared" si="47"/>
        <v>-7.75863820709837</v>
      </c>
      <c r="K194" s="10">
        <f t="shared" si="41"/>
        <v>280.2693894320442</v>
      </c>
      <c r="L194" s="13">
        <f t="shared" si="44"/>
        <v>10.43733463825358</v>
      </c>
      <c r="M194" s="10">
        <f t="shared" si="45"/>
        <v>-2.862665361746421</v>
      </c>
      <c r="N194" s="10">
        <f t="shared" si="42"/>
        <v>257.97144725032064</v>
      </c>
      <c r="P194" s="13">
        <f t="shared" si="49"/>
        <v>2.6786964311552097</v>
      </c>
      <c r="Q194" s="13">
        <f t="shared" si="50"/>
        <v>0</v>
      </c>
    </row>
    <row r="195" spans="1:17" ht="12.75">
      <c r="A195">
        <f t="shared" si="51"/>
        <v>244</v>
      </c>
      <c r="B195" s="10">
        <f t="shared" si="52"/>
        <v>13.1375</v>
      </c>
      <c r="C195" s="10">
        <f t="shared" si="53"/>
        <v>311.515308</v>
      </c>
      <c r="E195">
        <f t="shared" si="54"/>
        <v>244</v>
      </c>
      <c r="G195" s="2">
        <f t="shared" si="55"/>
        <v>962.2065406515961</v>
      </c>
      <c r="I195" s="2">
        <f t="shared" si="48"/>
        <v>2085</v>
      </c>
      <c r="J195" s="13">
        <f t="shared" si="47"/>
        <v>-7.745937437934485</v>
      </c>
      <c r="K195" s="10">
        <f t="shared" si="41"/>
        <v>280.14843871284864</v>
      </c>
      <c r="L195" s="13">
        <f t="shared" si="44"/>
        <v>10.445241326464878</v>
      </c>
      <c r="M195" s="10">
        <f t="shared" si="45"/>
        <v>-2.854758673535123</v>
      </c>
      <c r="N195" s="10">
        <f t="shared" si="42"/>
        <v>257.8336049699464</v>
      </c>
      <c r="P195" s="13">
        <f t="shared" si="49"/>
        <v>2.6993038885303924</v>
      </c>
      <c r="Q195" s="13">
        <f t="shared" si="50"/>
        <v>0</v>
      </c>
    </row>
    <row r="196" spans="1:17" ht="12.75">
      <c r="A196">
        <f t="shared" si="51"/>
        <v>245</v>
      </c>
      <c r="B196" s="10">
        <f t="shared" si="52"/>
        <v>13.15</v>
      </c>
      <c r="C196" s="10">
        <f t="shared" si="53"/>
        <v>311.515308</v>
      </c>
      <c r="E196">
        <f t="shared" si="54"/>
        <v>245</v>
      </c>
      <c r="G196" s="2">
        <f t="shared" si="55"/>
        <v>962.2065406515961</v>
      </c>
      <c r="I196" s="2">
        <f t="shared" si="48"/>
        <v>2100</v>
      </c>
      <c r="J196" s="13">
        <f t="shared" si="47"/>
        <v>-7.733206620493172</v>
      </c>
      <c r="K196" s="10">
        <f t="shared" si="41"/>
        <v>280.02768598808507</v>
      </c>
      <c r="L196" s="13">
        <f t="shared" si="44"/>
        <v>10.453062483235993</v>
      </c>
      <c r="M196" s="10">
        <f t="shared" si="45"/>
        <v>-2.846937516764008</v>
      </c>
      <c r="N196" s="10">
        <f t="shared" si="42"/>
        <v>257.6961434102627</v>
      </c>
      <c r="P196" s="13">
        <f t="shared" si="49"/>
        <v>2.7198558627428198</v>
      </c>
      <c r="Q196" s="13">
        <f t="shared" si="50"/>
        <v>0</v>
      </c>
    </row>
    <row r="197" spans="1:17" ht="12.75">
      <c r="A197">
        <f t="shared" si="51"/>
        <v>246</v>
      </c>
      <c r="B197" s="10">
        <f t="shared" si="52"/>
        <v>13.1625</v>
      </c>
      <c r="C197" s="10">
        <f t="shared" si="53"/>
        <v>311.515308</v>
      </c>
      <c r="E197">
        <f t="shared" si="54"/>
        <v>246</v>
      </c>
      <c r="G197" s="2">
        <f t="shared" si="55"/>
        <v>962.2065406515961</v>
      </c>
      <c r="I197" s="2">
        <f t="shared" si="48"/>
        <v>2115</v>
      </c>
      <c r="J197" s="13">
        <f t="shared" si="47"/>
        <v>-7.720447855860527</v>
      </c>
      <c r="K197" s="10">
        <f t="shared" si="41"/>
        <v>279.90713172618115</v>
      </c>
      <c r="L197" s="13">
        <f t="shared" si="44"/>
        <v>10.460800255633174</v>
      </c>
      <c r="M197" s="10">
        <f t="shared" si="45"/>
        <v>-2.8391997443668266</v>
      </c>
      <c r="N197" s="10">
        <f t="shared" si="42"/>
        <v>257.559058452783</v>
      </c>
      <c r="P197" s="13">
        <f t="shared" si="49"/>
        <v>2.740352399772646</v>
      </c>
      <c r="Q197" s="13">
        <f t="shared" si="50"/>
        <v>0</v>
      </c>
    </row>
    <row r="198" spans="1:17" ht="12.75">
      <c r="A198">
        <f t="shared" si="51"/>
        <v>247</v>
      </c>
      <c r="B198" s="10">
        <f t="shared" si="52"/>
        <v>13.175</v>
      </c>
      <c r="C198" s="10">
        <f t="shared" si="53"/>
        <v>311.515308</v>
      </c>
      <c r="E198">
        <f t="shared" si="54"/>
        <v>247</v>
      </c>
      <c r="G198" s="2">
        <f t="shared" si="55"/>
        <v>962.2065406515961</v>
      </c>
      <c r="I198" s="2">
        <f t="shared" si="48"/>
        <v>2130</v>
      </c>
      <c r="J198" s="13">
        <f t="shared" si="47"/>
        <v>-7.707663175869577</v>
      </c>
      <c r="K198" s="10">
        <f t="shared" si="41"/>
        <v>279.7867763628103</v>
      </c>
      <c r="L198" s="13">
        <f t="shared" si="44"/>
        <v>10.468456726997914</v>
      </c>
      <c r="M198" s="10">
        <f t="shared" si="45"/>
        <v>-2.8315432730020866</v>
      </c>
      <c r="N198" s="10">
        <f t="shared" si="42"/>
        <v>257.4223460824057</v>
      </c>
      <c r="P198" s="13">
        <f t="shared" si="49"/>
        <v>2.7607935511283377</v>
      </c>
      <c r="Q198" s="13">
        <f t="shared" si="50"/>
        <v>0</v>
      </c>
    </row>
    <row r="199" spans="1:17" ht="12.75">
      <c r="A199">
        <f t="shared" si="51"/>
        <v>248</v>
      </c>
      <c r="B199" s="10">
        <f t="shared" si="52"/>
        <v>13.1875</v>
      </c>
      <c r="C199" s="10">
        <f t="shared" si="53"/>
        <v>311.515308</v>
      </c>
      <c r="E199">
        <f t="shared" si="54"/>
        <v>248</v>
      </c>
      <c r="G199" s="2">
        <f t="shared" si="55"/>
        <v>962.2065406515961</v>
      </c>
      <c r="I199" s="2">
        <f t="shared" si="48"/>
        <v>2145</v>
      </c>
      <c r="J199" s="13">
        <f t="shared" si="47"/>
        <v>-7.694854545255536</v>
      </c>
      <c r="K199" s="10">
        <f t="shared" si="41"/>
        <v>279.6666203019715</v>
      </c>
      <c r="L199" s="13">
        <f t="shared" si="44"/>
        <v>10.476033918888692</v>
      </c>
      <c r="M199" s="10">
        <f t="shared" si="45"/>
        <v>-2.8239660811113083</v>
      </c>
      <c r="N199" s="10">
        <f t="shared" si="42"/>
        <v>257.28600238434564</v>
      </c>
      <c r="P199" s="13">
        <f t="shared" si="49"/>
        <v>2.7811793736331563</v>
      </c>
      <c r="Q199" s="13">
        <f t="shared" si="50"/>
        <v>0</v>
      </c>
    </row>
    <row r="200" spans="1:17" ht="12.75">
      <c r="A200">
        <f t="shared" si="51"/>
        <v>249</v>
      </c>
      <c r="B200" s="10">
        <f t="shared" si="52"/>
        <v>13.2</v>
      </c>
      <c r="C200" s="10">
        <f t="shared" si="53"/>
        <v>311.515308</v>
      </c>
      <c r="E200">
        <f t="shared" si="54"/>
        <v>249</v>
      </c>
      <c r="G200" s="2">
        <f t="shared" si="55"/>
        <v>962.2065406515961</v>
      </c>
      <c r="I200" s="2">
        <f t="shared" si="48"/>
        <v>2160</v>
      </c>
      <c r="J200" s="13">
        <f t="shared" si="47"/>
        <v>-7.682023863744371</v>
      </c>
      <c r="K200" s="10">
        <f t="shared" si="41"/>
        <v>279.54666391703495</v>
      </c>
      <c r="L200" s="13">
        <f t="shared" si="44"/>
        <v>10.483533792963057</v>
      </c>
      <c r="M200" s="10">
        <f t="shared" si="45"/>
        <v>-2.816466207036944</v>
      </c>
      <c r="N200" s="10">
        <f t="shared" si="42"/>
        <v>257.1500235411593</v>
      </c>
      <c r="P200" s="13">
        <f t="shared" si="49"/>
        <v>2.8015099292186854</v>
      </c>
      <c r="Q200" s="13">
        <f t="shared" si="50"/>
        <v>0</v>
      </c>
    </row>
    <row r="201" spans="1:17" ht="12.75">
      <c r="A201">
        <f t="shared" si="51"/>
        <v>250</v>
      </c>
      <c r="B201" s="10">
        <f t="shared" si="52"/>
        <v>13.2125</v>
      </c>
      <c r="C201" s="10">
        <f t="shared" si="53"/>
        <v>311.515308</v>
      </c>
      <c r="E201">
        <f t="shared" si="54"/>
        <v>250</v>
      </c>
      <c r="G201" s="2">
        <f t="shared" si="55"/>
        <v>962.2065406515961</v>
      </c>
      <c r="I201" s="2">
        <f t="shared" si="48"/>
        <v>2175</v>
      </c>
      <c r="J201" s="13">
        <f t="shared" si="47"/>
        <v>-7.6691729680769285</v>
      </c>
      <c r="K201" s="10">
        <f t="shared" si="41"/>
        <v>279.4269075517559</v>
      </c>
      <c r="L201" s="13">
        <f t="shared" si="44"/>
        <v>10.49095825280216</v>
      </c>
      <c r="M201" s="10">
        <f t="shared" si="45"/>
        <v>-2.80904174719784</v>
      </c>
      <c r="N201" s="10">
        <f t="shared" si="42"/>
        <v>257.0144058298604</v>
      </c>
      <c r="P201" s="13">
        <f t="shared" si="49"/>
        <v>2.821785284725232</v>
      </c>
      <c r="Q201" s="13">
        <f t="shared" si="50"/>
        <v>0</v>
      </c>
    </row>
    <row r="202" spans="1:17" ht="12.75">
      <c r="A202">
        <f t="shared" si="51"/>
        <v>251</v>
      </c>
      <c r="B202" s="10">
        <f t="shared" si="52"/>
        <v>13.225</v>
      </c>
      <c r="C202" s="10">
        <f t="shared" si="53"/>
        <v>311.515308</v>
      </c>
      <c r="E202">
        <f t="shared" si="54"/>
        <v>251</v>
      </c>
      <c r="G202" s="2">
        <f t="shared" si="55"/>
        <v>962.2065406515961</v>
      </c>
      <c r="I202" s="2">
        <f t="shared" si="48"/>
        <v>2190</v>
      </c>
      <c r="J202" s="13">
        <f t="shared" si="47"/>
        <v>-7.656303633970484</v>
      </c>
      <c r="K202" s="10">
        <f t="shared" si="41"/>
        <v>279.3073515212562</v>
      </c>
      <c r="L202" s="13">
        <f t="shared" si="44"/>
        <v>10.498309145679311</v>
      </c>
      <c r="M202" s="10">
        <f t="shared" si="45"/>
        <v>-2.7891908543206885</v>
      </c>
      <c r="N202" s="10">
        <f t="shared" si="42"/>
        <v>256.8791456191231</v>
      </c>
      <c r="P202" s="13">
        <f t="shared" si="49"/>
        <v>2.8420055117088268</v>
      </c>
      <c r="Q202" s="13">
        <f t="shared" si="50"/>
        <v>0</v>
      </c>
    </row>
    <row r="203" spans="1:17" ht="12.75">
      <c r="A203">
        <f t="shared" si="51"/>
        <v>252</v>
      </c>
      <c r="B203" s="10">
        <f t="shared" si="52"/>
        <v>13.2375</v>
      </c>
      <c r="C203" s="10">
        <f t="shared" si="53"/>
        <v>311.515308</v>
      </c>
      <c r="E203">
        <f t="shared" si="54"/>
        <v>252</v>
      </c>
      <c r="G203" s="2">
        <f t="shared" si="55"/>
        <v>962.2065406515961</v>
      </c>
      <c r="I203" s="2">
        <f t="shared" si="48"/>
        <v>2205</v>
      </c>
      <c r="J203" s="13">
        <f t="shared" si="47"/>
        <v>-7.643135839192908</v>
      </c>
      <c r="K203" s="10">
        <f t="shared" si="41"/>
        <v>279.1879961129758</v>
      </c>
      <c r="L203" s="13">
        <f t="shared" si="44"/>
        <v>10.505306525447509</v>
      </c>
      <c r="M203" s="10">
        <f t="shared" si="45"/>
        <v>-2.782193474552491</v>
      </c>
      <c r="N203" s="10">
        <f t="shared" si="42"/>
        <v>256.7448412631561</v>
      </c>
      <c r="P203" s="13">
        <f t="shared" si="49"/>
        <v>2.8621706862546006</v>
      </c>
      <c r="Q203" s="13">
        <f t="shared" si="50"/>
        <v>0</v>
      </c>
    </row>
    <row r="204" spans="1:17" ht="12.75">
      <c r="A204">
        <f t="shared" si="51"/>
        <v>253</v>
      </c>
      <c r="B204" s="10">
        <f t="shared" si="52"/>
        <v>13.25</v>
      </c>
      <c r="C204" s="10">
        <f t="shared" si="53"/>
        <v>311.515308</v>
      </c>
      <c r="E204">
        <f t="shared" si="54"/>
        <v>253</v>
      </c>
      <c r="G204" s="2">
        <f t="shared" si="55"/>
        <v>962.2065406515961</v>
      </c>
      <c r="I204" s="2">
        <f t="shared" si="48"/>
        <v>2220</v>
      </c>
      <c r="J204" s="13">
        <f t="shared" si="47"/>
        <v>-7.629962128772903</v>
      </c>
      <c r="K204" s="10">
        <f t="shared" si="41"/>
        <v>279.06884597966837</v>
      </c>
      <c r="L204" s="13">
        <f t="shared" si="44"/>
        <v>10.512242276687894</v>
      </c>
      <c r="M204" s="10">
        <f t="shared" si="45"/>
        <v>-2.775257723312105</v>
      </c>
      <c r="N204" s="10">
        <f t="shared" si="42"/>
        <v>256.61087384310787</v>
      </c>
      <c r="P204" s="13">
        <f t="shared" si="49"/>
        <v>2.882280147914991</v>
      </c>
      <c r="Q204" s="13">
        <f t="shared" si="50"/>
        <v>0</v>
      </c>
    </row>
    <row r="205" spans="1:17" ht="12.75">
      <c r="A205">
        <f t="shared" si="51"/>
        <v>254</v>
      </c>
      <c r="B205" s="10">
        <f t="shared" si="52"/>
        <v>13.2625</v>
      </c>
      <c r="C205" s="10">
        <f t="shared" si="53"/>
        <v>311.515308</v>
      </c>
      <c r="E205">
        <f t="shared" si="54"/>
        <v>254</v>
      </c>
      <c r="G205" s="2">
        <f t="shared" si="55"/>
        <v>962.2065406515961</v>
      </c>
      <c r="I205" s="2">
        <f t="shared" si="48"/>
        <v>2235</v>
      </c>
      <c r="J205" s="13">
        <f t="shared" si="47"/>
        <v>-7.616783823975824</v>
      </c>
      <c r="K205" s="10">
        <f t="shared" si="41"/>
        <v>278.9499012135539</v>
      </c>
      <c r="L205" s="13">
        <f t="shared" si="44"/>
        <v>10.51911783161918</v>
      </c>
      <c r="M205" s="10">
        <f t="shared" si="45"/>
        <v>-2.7683821683808194</v>
      </c>
      <c r="N205" s="10">
        <f t="shared" si="42"/>
        <v>256.4772403914584</v>
      </c>
      <c r="P205" s="13">
        <f t="shared" si="49"/>
        <v>2.9023340076433555</v>
      </c>
      <c r="Q205" s="13">
        <f t="shared" si="50"/>
        <v>0</v>
      </c>
    </row>
    <row r="206" spans="1:17" ht="12.75">
      <c r="A206">
        <f t="shared" si="51"/>
        <v>255</v>
      </c>
      <c r="B206" s="10">
        <f t="shared" si="52"/>
        <v>13.275</v>
      </c>
      <c r="C206" s="10">
        <f t="shared" si="53"/>
        <v>311.515308</v>
      </c>
      <c r="E206">
        <f t="shared" si="54"/>
        <v>255</v>
      </c>
      <c r="G206" s="2">
        <f t="shared" si="55"/>
        <v>962.2065406515961</v>
      </c>
      <c r="I206" s="2">
        <f t="shared" si="48"/>
        <v>2250</v>
      </c>
      <c r="J206" s="13">
        <f t="shared" si="47"/>
        <v>-7.603602200992374</v>
      </c>
      <c r="K206" s="10">
        <f t="shared" si="41"/>
        <v>278.83116188625496</v>
      </c>
      <c r="L206" s="13">
        <f t="shared" si="44"/>
        <v>10.5259345805378</v>
      </c>
      <c r="M206" s="10">
        <f t="shared" si="45"/>
        <v>-2.7615654194621992</v>
      </c>
      <c r="N206" s="10">
        <f t="shared" si="42"/>
        <v>256.3439380096515</v>
      </c>
      <c r="P206" s="13">
        <f t="shared" si="49"/>
        <v>2.922332379545426</v>
      </c>
      <c r="Q206" s="13">
        <f t="shared" si="50"/>
        <v>0</v>
      </c>
    </row>
    <row r="207" spans="1:17" ht="12.75">
      <c r="A207">
        <f t="shared" si="51"/>
        <v>256</v>
      </c>
      <c r="B207" s="10">
        <f t="shared" si="52"/>
        <v>13.2875</v>
      </c>
      <c r="C207" s="10">
        <f t="shared" si="53"/>
        <v>311.515308</v>
      </c>
      <c r="E207">
        <f t="shared" si="54"/>
        <v>256</v>
      </c>
      <c r="G207" s="2">
        <f t="shared" si="55"/>
        <v>962.2065406515961</v>
      </c>
      <c r="I207" s="2">
        <f t="shared" si="48"/>
        <v>2265</v>
      </c>
      <c r="J207" s="13">
        <f t="shared" si="47"/>
        <v>-7.590418492348075</v>
      </c>
      <c r="K207" s="10">
        <f aca="true" t="shared" si="56" ref="K207:K270">MAX(D$8,K206+J206*I$41/VLOOKUP(K206,E$44:G$251,3,TRUE))</f>
        <v>278.71262804949924</v>
      </c>
      <c r="L207" s="13">
        <f t="shared" si="44"/>
        <v>10.532693873091713</v>
      </c>
      <c r="M207" s="10">
        <f t="shared" si="45"/>
        <v>-2.754806126908287</v>
      </c>
      <c r="N207" s="10">
        <f aca="true" t="shared" si="57" ref="N207:N270">N206+M206*I$41/VLOOKUP(N206,A$44:C$251,3,TRUE)</f>
        <v>256.21096386607604</v>
      </c>
      <c r="P207" s="13">
        <f t="shared" si="49"/>
        <v>2.9422753807436384</v>
      </c>
      <c r="Q207" s="13">
        <f t="shared" si="50"/>
        <v>0</v>
      </c>
    </row>
    <row r="208" spans="1:17" ht="12.75">
      <c r="A208">
        <f t="shared" si="51"/>
        <v>257</v>
      </c>
      <c r="B208" s="10">
        <f t="shared" si="52"/>
        <v>13.3</v>
      </c>
      <c r="C208" s="10">
        <f t="shared" si="53"/>
        <v>311.515308</v>
      </c>
      <c r="E208">
        <f t="shared" si="54"/>
        <v>257</v>
      </c>
      <c r="G208" s="2">
        <f t="shared" si="55"/>
        <v>962.2065406515961</v>
      </c>
      <c r="I208" s="2">
        <f t="shared" si="48"/>
        <v>2280</v>
      </c>
      <c r="J208" s="13">
        <f t="shared" si="47"/>
        <v>-7.577233888269131</v>
      </c>
      <c r="K208" s="10">
        <f t="shared" si="56"/>
        <v>278.59429973580046</v>
      </c>
      <c r="L208" s="13">
        <f t="shared" si="44"/>
        <v>10.539397019515182</v>
      </c>
      <c r="M208" s="10">
        <f t="shared" si="45"/>
        <v>-2.748102980484818</v>
      </c>
      <c r="N208" s="10">
        <f t="shared" si="57"/>
        <v>256.07831519410894</v>
      </c>
      <c r="P208" s="13">
        <f t="shared" si="49"/>
        <v>2.962163131246051</v>
      </c>
      <c r="Q208" s="13">
        <f t="shared" si="50"/>
        <v>0</v>
      </c>
    </row>
    <row r="209" spans="1:17" ht="12.75">
      <c r="A209">
        <f t="shared" si="51"/>
        <v>258</v>
      </c>
      <c r="B209" s="10">
        <f t="shared" si="52"/>
        <v>13.3125</v>
      </c>
      <c r="C209" s="10">
        <f t="shared" si="53"/>
        <v>311.515308</v>
      </c>
      <c r="E209">
        <f t="shared" si="54"/>
        <v>258</v>
      </c>
      <c r="G209" s="2">
        <f t="shared" si="55"/>
        <v>962.2065406515961</v>
      </c>
      <c r="I209" s="2">
        <f t="shared" si="48"/>
        <v>2295</v>
      </c>
      <c r="J209" s="13">
        <f t="shared" si="47"/>
        <v>-7.564049538006288</v>
      </c>
      <c r="K209" s="10">
        <f t="shared" si="56"/>
        <v>278.47617695911777</v>
      </c>
      <c r="L209" s="13">
        <f t="shared" si="44"/>
        <v>10.546045291825891</v>
      </c>
      <c r="M209" s="10">
        <f t="shared" si="45"/>
        <v>-2.7289547081741095</v>
      </c>
      <c r="N209" s="10">
        <f t="shared" si="57"/>
        <v>255.945989290217</v>
      </c>
      <c r="P209" s="13">
        <f t="shared" si="49"/>
        <v>2.9819957538196027</v>
      </c>
      <c r="Q209" s="13">
        <f t="shared" si="50"/>
        <v>0</v>
      </c>
    </row>
    <row r="210" spans="1:17" ht="12.75">
      <c r="A210">
        <f t="shared" si="51"/>
        <v>259</v>
      </c>
      <c r="B210" s="10">
        <f t="shared" si="52"/>
        <v>13.325</v>
      </c>
      <c r="C210" s="10">
        <f t="shared" si="53"/>
        <v>311.515308</v>
      </c>
      <c r="E210">
        <f t="shared" si="54"/>
        <v>259</v>
      </c>
      <c r="G210" s="2">
        <f t="shared" si="55"/>
        <v>962.2065406515961</v>
      </c>
      <c r="I210" s="2">
        <f t="shared" si="48"/>
        <v>2310</v>
      </c>
      <c r="J210" s="13">
        <f t="shared" si="47"/>
        <v>-7.550584812290415</v>
      </c>
      <c r="K210" s="10">
        <f t="shared" si="56"/>
        <v>278.3582597154943</v>
      </c>
      <c r="L210" s="13">
        <f t="shared" si="44"/>
        <v>10.552358186158203</v>
      </c>
      <c r="M210" s="10">
        <f t="shared" si="45"/>
        <v>-2.722641813841797</v>
      </c>
      <c r="N210" s="10">
        <f t="shared" si="57"/>
        <v>255.81458540870176</v>
      </c>
      <c r="P210" s="13">
        <f t="shared" si="49"/>
        <v>3.0017733738677883</v>
      </c>
      <c r="Q210" s="13">
        <f t="shared" si="50"/>
        <v>0</v>
      </c>
    </row>
    <row r="211" spans="1:17" ht="12.75">
      <c r="A211">
        <f t="shared" si="51"/>
        <v>260</v>
      </c>
      <c r="B211" s="10">
        <f t="shared" si="52"/>
        <v>13.3375</v>
      </c>
      <c r="C211" s="10">
        <f t="shared" si="53"/>
        <v>311.515308</v>
      </c>
      <c r="E211">
        <f t="shared" si="54"/>
        <v>260</v>
      </c>
      <c r="G211" s="2">
        <f t="shared" si="55"/>
        <v>962.2065406515961</v>
      </c>
      <c r="I211" s="2">
        <f t="shared" si="48"/>
        <v>2325</v>
      </c>
      <c r="J211" s="13">
        <f t="shared" si="47"/>
        <v>-7.537131662579778</v>
      </c>
      <c r="K211" s="10">
        <f t="shared" si="56"/>
        <v>278.2405523757503</v>
      </c>
      <c r="L211" s="13">
        <f t="shared" si="44"/>
        <v>10.55862704637479</v>
      </c>
      <c r="M211" s="10">
        <f t="shared" si="45"/>
        <v>-2.7163729536252106</v>
      </c>
      <c r="N211" s="10">
        <f t="shared" si="57"/>
        <v>255.68348550394964</v>
      </c>
      <c r="P211" s="13">
        <f t="shared" si="49"/>
        <v>3.021495383795012</v>
      </c>
      <c r="Q211" s="13">
        <f t="shared" si="50"/>
        <v>0</v>
      </c>
    </row>
    <row r="212" spans="1:17" ht="12.75">
      <c r="A212">
        <f t="shared" si="51"/>
        <v>261</v>
      </c>
      <c r="B212" s="10">
        <f t="shared" si="52"/>
        <v>13.35</v>
      </c>
      <c r="C212" s="10">
        <f t="shared" si="53"/>
        <v>311.515308</v>
      </c>
      <c r="E212">
        <f t="shared" si="54"/>
        <v>261</v>
      </c>
      <c r="G212" s="2">
        <f t="shared" si="55"/>
        <v>962.2065406515961</v>
      </c>
      <c r="I212" s="2">
        <f t="shared" si="48"/>
        <v>2340</v>
      </c>
      <c r="J212" s="13">
        <f t="shared" si="47"/>
        <v>-7.523690840451798</v>
      </c>
      <c r="K212" s="10">
        <f t="shared" si="56"/>
        <v>278.12305475942554</v>
      </c>
      <c r="L212" s="13">
        <f t="shared" si="44"/>
        <v>10.564852780494464</v>
      </c>
      <c r="M212" s="10">
        <f t="shared" si="45"/>
        <v>-2.7101472195055365</v>
      </c>
      <c r="N212" s="10">
        <f t="shared" si="57"/>
        <v>255.55268745564192</v>
      </c>
      <c r="P212" s="13">
        <f t="shared" si="49"/>
        <v>3.0411619400426657</v>
      </c>
      <c r="Q212" s="13">
        <f t="shared" si="50"/>
        <v>0</v>
      </c>
    </row>
    <row r="213" spans="1:17" ht="12.75">
      <c r="A213">
        <f t="shared" si="51"/>
        <v>262</v>
      </c>
      <c r="B213" s="10">
        <f t="shared" si="52"/>
        <v>13.3625</v>
      </c>
      <c r="C213" s="10">
        <f t="shared" si="53"/>
        <v>311.515308</v>
      </c>
      <c r="E213">
        <f t="shared" si="54"/>
        <v>262</v>
      </c>
      <c r="G213" s="2">
        <f t="shared" si="55"/>
        <v>962.2065406515961</v>
      </c>
      <c r="I213" s="2">
        <f t="shared" si="48"/>
        <v>2355</v>
      </c>
      <c r="J213" s="13">
        <f t="shared" si="47"/>
        <v>-7.510263070085554</v>
      </c>
      <c r="K213" s="10">
        <f t="shared" si="56"/>
        <v>278.00576667434314</v>
      </c>
      <c r="L213" s="13">
        <f t="shared" si="44"/>
        <v>10.571036270585799</v>
      </c>
      <c r="M213" s="10">
        <f t="shared" si="45"/>
        <v>-2.703963729414202</v>
      </c>
      <c r="N213" s="10">
        <f t="shared" si="57"/>
        <v>255.42218918718257</v>
      </c>
      <c r="P213" s="13">
        <f t="shared" si="49"/>
        <v>3.060773200500244</v>
      </c>
      <c r="Q213" s="13">
        <f t="shared" si="50"/>
        <v>0</v>
      </c>
    </row>
    <row r="214" spans="1:17" ht="12.75">
      <c r="A214">
        <f t="shared" si="51"/>
        <v>263</v>
      </c>
      <c r="B214" s="10">
        <f t="shared" si="52"/>
        <v>13.375</v>
      </c>
      <c r="C214" s="10">
        <f t="shared" si="53"/>
        <v>311.515308</v>
      </c>
      <c r="E214">
        <f t="shared" si="54"/>
        <v>263</v>
      </c>
      <c r="G214" s="2">
        <f t="shared" si="55"/>
        <v>962.2065406515961</v>
      </c>
      <c r="I214" s="2">
        <f t="shared" si="48"/>
        <v>2370</v>
      </c>
      <c r="J214" s="13">
        <f t="shared" si="47"/>
        <v>-7.496849049126291</v>
      </c>
      <c r="K214" s="10">
        <f t="shared" si="56"/>
        <v>277.88868791703703</v>
      </c>
      <c r="L214" s="13">
        <f t="shared" si="44"/>
        <v>10.577178373552002</v>
      </c>
      <c r="M214" s="10">
        <f t="shared" si="45"/>
        <v>-2.6978216264479986</v>
      </c>
      <c r="N214" s="10">
        <f t="shared" si="57"/>
        <v>255.29198866444867</v>
      </c>
      <c r="P214" s="13">
        <f t="shared" si="49"/>
        <v>3.080329324425711</v>
      </c>
      <c r="Q214" s="13">
        <f t="shared" si="50"/>
        <v>0</v>
      </c>
    </row>
    <row r="215" spans="1:17" ht="12.75">
      <c r="A215">
        <f t="shared" si="51"/>
        <v>264</v>
      </c>
      <c r="B215" s="10">
        <f t="shared" si="52"/>
        <v>13.3875</v>
      </c>
      <c r="C215" s="10">
        <f t="shared" si="53"/>
        <v>311.515308</v>
      </c>
      <c r="E215">
        <f t="shared" si="54"/>
        <v>264</v>
      </c>
      <c r="G215" s="2">
        <f t="shared" si="55"/>
        <v>962.2065406515961</v>
      </c>
      <c r="I215" s="2">
        <f t="shared" si="48"/>
        <v>2385</v>
      </c>
      <c r="J215" s="13">
        <f t="shared" si="47"/>
        <v>-7.483449449522963</v>
      </c>
      <c r="K215" s="10">
        <f t="shared" si="56"/>
        <v>277.7718182731654</v>
      </c>
      <c r="L215" s="13">
        <f t="shared" si="44"/>
        <v>10.583279921891672</v>
      </c>
      <c r="M215" s="10">
        <f t="shared" si="45"/>
        <v>-2.691720078108329</v>
      </c>
      <c r="N215" s="10">
        <f t="shared" si="57"/>
        <v>255.16208389457867</v>
      </c>
      <c r="P215" s="13">
        <f t="shared" si="49"/>
        <v>3.099830472368709</v>
      </c>
      <c r="Q215" s="13">
        <f t="shared" si="50"/>
        <v>0</v>
      </c>
    </row>
    <row r="216" spans="1:17" ht="12.75">
      <c r="A216">
        <f t="shared" si="51"/>
        <v>265</v>
      </c>
      <c r="B216" s="10">
        <f t="shared" si="52"/>
        <v>13.4</v>
      </c>
      <c r="C216" s="10">
        <f t="shared" si="53"/>
        <v>311.515308</v>
      </c>
      <c r="E216">
        <f t="shared" si="54"/>
        <v>265</v>
      </c>
      <c r="G216" s="2">
        <f t="shared" si="55"/>
        <v>962.2065406515961</v>
      </c>
      <c r="I216" s="2">
        <f t="shared" si="48"/>
        <v>2400</v>
      </c>
      <c r="J216" s="13">
        <f t="shared" si="47"/>
        <v>-7.47006491834001</v>
      </c>
      <c r="K216" s="10">
        <f t="shared" si="56"/>
        <v>277.65515751791133</v>
      </c>
      <c r="L216" s="13">
        <f t="shared" si="44"/>
        <v>10.589341724436355</v>
      </c>
      <c r="M216" s="10">
        <f t="shared" si="45"/>
        <v>-2.685658275563645</v>
      </c>
      <c r="N216" s="10">
        <f t="shared" si="57"/>
        <v>255.0324729247973</v>
      </c>
      <c r="P216" s="13">
        <f t="shared" si="49"/>
        <v>3.1192768060963454</v>
      </c>
      <c r="Q216" s="13">
        <f t="shared" si="50"/>
        <v>0</v>
      </c>
    </row>
    <row r="217" spans="1:17" ht="12.75">
      <c r="A217">
        <f t="shared" si="51"/>
        <v>266</v>
      </c>
      <c r="B217" s="10">
        <f t="shared" si="52"/>
        <v>13.4125</v>
      </c>
      <c r="C217" s="10">
        <f t="shared" si="53"/>
        <v>311.515308</v>
      </c>
      <c r="E217">
        <f t="shared" si="54"/>
        <v>266</v>
      </c>
      <c r="G217" s="2">
        <f t="shared" si="55"/>
        <v>962.2065406515961</v>
      </c>
      <c r="I217" s="2">
        <f t="shared" si="48"/>
        <v>2415</v>
      </c>
      <c r="J217" s="13">
        <f t="shared" si="47"/>
        <v>-7.45669607854402</v>
      </c>
      <c r="K217" s="10">
        <f t="shared" si="56"/>
        <v>277.53870541637065</v>
      </c>
      <c r="L217" s="13">
        <f t="shared" si="44"/>
        <v>10.595364567065642</v>
      </c>
      <c r="M217" s="10">
        <f t="shared" si="45"/>
        <v>-2.667135432934357</v>
      </c>
      <c r="N217" s="10">
        <f t="shared" si="57"/>
        <v>254.90315384127587</v>
      </c>
      <c r="P217" s="13">
        <f t="shared" si="49"/>
        <v>3.1386684885216223</v>
      </c>
      <c r="Q217" s="13">
        <f t="shared" si="50"/>
        <v>0</v>
      </c>
    </row>
    <row r="218" spans="1:17" ht="12.75">
      <c r="A218">
        <f t="shared" si="51"/>
        <v>267</v>
      </c>
      <c r="B218" s="10">
        <f t="shared" si="52"/>
        <v>13.425</v>
      </c>
      <c r="C218" s="10">
        <f t="shared" si="53"/>
        <v>311.515308</v>
      </c>
      <c r="E218">
        <f t="shared" si="54"/>
        <v>267</v>
      </c>
      <c r="G218" s="2">
        <f t="shared" si="55"/>
        <v>962.2065406515961</v>
      </c>
      <c r="I218" s="2">
        <f t="shared" si="48"/>
        <v>2430</v>
      </c>
      <c r="J218" s="13">
        <f t="shared" si="47"/>
        <v>-7.443061790938946</v>
      </c>
      <c r="K218" s="10">
        <f t="shared" si="56"/>
        <v>277.42246172392765</v>
      </c>
      <c r="L218" s="13">
        <f t="shared" si="44"/>
        <v>10.60106747457329</v>
      </c>
      <c r="M218" s="10">
        <f t="shared" si="45"/>
        <v>-2.6614325254267097</v>
      </c>
      <c r="N218" s="10">
        <f t="shared" si="57"/>
        <v>254.774726664612</v>
      </c>
      <c r="P218" s="13">
        <f t="shared" si="49"/>
        <v>3.158005683634344</v>
      </c>
      <c r="Q218" s="13">
        <f t="shared" si="50"/>
        <v>0</v>
      </c>
    </row>
    <row r="219" spans="1:17" ht="12.75">
      <c r="A219">
        <f t="shared" si="51"/>
        <v>268</v>
      </c>
      <c r="B219" s="10">
        <f t="shared" si="52"/>
        <v>13.4375</v>
      </c>
      <c r="C219" s="10">
        <f t="shared" si="53"/>
        <v>311.515308</v>
      </c>
      <c r="E219">
        <f t="shared" si="54"/>
        <v>268</v>
      </c>
      <c r="G219" s="2">
        <f t="shared" si="55"/>
        <v>962.2065406515961</v>
      </c>
      <c r="I219" s="2">
        <f t="shared" si="48"/>
        <v>2445</v>
      </c>
      <c r="J219" s="13">
        <f t="shared" si="47"/>
        <v>-7.429453506897376</v>
      </c>
      <c r="K219" s="10">
        <f t="shared" si="56"/>
        <v>277.306430578693</v>
      </c>
      <c r="L219" s="13">
        <f t="shared" si="44"/>
        <v>10.606741333825843</v>
      </c>
      <c r="M219" s="10">
        <f t="shared" si="45"/>
        <v>-2.6557586661741563</v>
      </c>
      <c r="N219" s="10">
        <f t="shared" si="57"/>
        <v>254.64657409279232</v>
      </c>
      <c r="P219" s="13">
        <f t="shared" si="49"/>
        <v>3.1772878269284672</v>
      </c>
      <c r="Q219" s="13">
        <f t="shared" si="50"/>
        <v>0</v>
      </c>
    </row>
    <row r="220" spans="1:17" ht="12.75">
      <c r="A220">
        <f t="shared" si="51"/>
        <v>269</v>
      </c>
      <c r="B220" s="10">
        <f t="shared" si="52"/>
        <v>13.45</v>
      </c>
      <c r="C220" s="10">
        <f t="shared" si="53"/>
        <v>311.515308</v>
      </c>
      <c r="E220">
        <f t="shared" si="54"/>
        <v>269</v>
      </c>
      <c r="G220" s="2">
        <f t="shared" si="55"/>
        <v>962.2065406515961</v>
      </c>
      <c r="I220" s="2">
        <f t="shared" si="48"/>
        <v>2460</v>
      </c>
      <c r="J220" s="13">
        <f t="shared" si="47"/>
        <v>-7.415871499587737</v>
      </c>
      <c r="K220" s="10">
        <f t="shared" si="56"/>
        <v>277.19061157529273</v>
      </c>
      <c r="L220" s="13">
        <f t="shared" si="44"/>
        <v>10.612386609795532</v>
      </c>
      <c r="M220" s="10">
        <f t="shared" si="45"/>
        <v>-2.650113390204467</v>
      </c>
      <c r="N220" s="10">
        <f t="shared" si="57"/>
        <v>254.5186947270932</v>
      </c>
      <c r="P220" s="13">
        <f t="shared" si="49"/>
        <v>3.1965151102077956</v>
      </c>
      <c r="Q220" s="13">
        <f t="shared" si="50"/>
        <v>0</v>
      </c>
    </row>
    <row r="221" spans="1:17" ht="12.75">
      <c r="A221">
        <f t="shared" si="51"/>
        <v>270</v>
      </c>
      <c r="B221" s="10">
        <f t="shared" si="52"/>
        <v>13.4625</v>
      </c>
      <c r="C221" s="10">
        <f t="shared" si="53"/>
        <v>311.515308</v>
      </c>
      <c r="E221">
        <f t="shared" si="54"/>
        <v>270</v>
      </c>
      <c r="G221" s="2">
        <f t="shared" si="55"/>
        <v>962.2065406515961</v>
      </c>
      <c r="I221" s="2">
        <f t="shared" si="48"/>
        <v>2475</v>
      </c>
      <c r="J221" s="13">
        <f t="shared" si="47"/>
        <v>-7.4023160296578405</v>
      </c>
      <c r="K221" s="10">
        <f t="shared" si="56"/>
        <v>277.07500430409453</v>
      </c>
      <c r="L221" s="13">
        <f t="shared" si="44"/>
        <v>10.618003754981196</v>
      </c>
      <c r="M221" s="10">
        <f t="shared" si="45"/>
        <v>-2.6444962450188036</v>
      </c>
      <c r="N221" s="10">
        <f t="shared" si="57"/>
        <v>254.39108719118016</v>
      </c>
      <c r="P221" s="13">
        <f t="shared" si="49"/>
        <v>3.215687725323355</v>
      </c>
      <c r="Q221" s="13">
        <f t="shared" si="50"/>
        <v>0</v>
      </c>
    </row>
    <row r="222" spans="1:17" ht="12.75">
      <c r="A222">
        <f t="shared" si="51"/>
        <v>271</v>
      </c>
      <c r="B222" s="10">
        <f t="shared" si="52"/>
        <v>13.475</v>
      </c>
      <c r="C222" s="10">
        <f t="shared" si="53"/>
        <v>311.515308</v>
      </c>
      <c r="E222">
        <f t="shared" si="54"/>
        <v>271</v>
      </c>
      <c r="G222" s="2">
        <f t="shared" si="55"/>
        <v>962.2065406515961</v>
      </c>
      <c r="I222" s="2">
        <f t="shared" si="48"/>
        <v>2490</v>
      </c>
      <c r="J222" s="13">
        <f t="shared" si="47"/>
        <v>-7.388787345640435</v>
      </c>
      <c r="K222" s="10">
        <f t="shared" si="56"/>
        <v>276.9596083514026</v>
      </c>
      <c r="L222" s="13">
        <f t="shared" si="44"/>
        <v>10.623593209780728</v>
      </c>
      <c r="M222" s="10">
        <f t="shared" si="45"/>
        <v>-2.6389067902192718</v>
      </c>
      <c r="N222" s="10">
        <f t="shared" si="57"/>
        <v>254.26375013050742</v>
      </c>
      <c r="P222" s="13">
        <f t="shared" si="49"/>
        <v>3.2348058641402924</v>
      </c>
      <c r="Q222" s="13">
        <f t="shared" si="50"/>
        <v>0</v>
      </c>
    </row>
    <row r="223" spans="1:17" ht="12.75">
      <c r="A223">
        <f t="shared" si="51"/>
        <v>272</v>
      </c>
      <c r="B223" s="10">
        <f t="shared" si="52"/>
        <v>13.4875</v>
      </c>
      <c r="C223" s="10">
        <f t="shared" si="53"/>
        <v>311.515308</v>
      </c>
      <c r="E223">
        <f t="shared" si="54"/>
        <v>272</v>
      </c>
      <c r="G223" s="2">
        <f t="shared" si="55"/>
        <v>962.2065406515961</v>
      </c>
      <c r="I223" s="2">
        <f t="shared" si="48"/>
        <v>2505</v>
      </c>
      <c r="J223" s="13">
        <f t="shared" si="47"/>
        <v>-7.375285684346411</v>
      </c>
      <c r="K223" s="10">
        <f t="shared" si="56"/>
        <v>276.8444232996469</v>
      </c>
      <c r="L223" s="13">
        <f t="shared" si="44"/>
        <v>10.629155402852351</v>
      </c>
      <c r="M223" s="10">
        <f t="shared" si="45"/>
        <v>-2.633344597147648</v>
      </c>
      <c r="N223" s="10">
        <f t="shared" si="57"/>
        <v>254.13668221173506</v>
      </c>
      <c r="P223" s="13">
        <f t="shared" si="49"/>
        <v>3.25386971850594</v>
      </c>
      <c r="Q223" s="13">
        <f t="shared" si="50"/>
        <v>0</v>
      </c>
    </row>
    <row r="224" spans="1:17" ht="12.75">
      <c r="A224" s="14">
        <f t="shared" si="51"/>
        <v>273</v>
      </c>
      <c r="B224" s="14">
        <v>13.5</v>
      </c>
      <c r="C224" s="10">
        <f t="shared" si="53"/>
        <v>311.515308</v>
      </c>
      <c r="E224" s="14">
        <f t="shared" si="54"/>
        <v>273</v>
      </c>
      <c r="G224" s="2">
        <f t="shared" si="55"/>
        <v>962.2065406515961</v>
      </c>
      <c r="I224" s="2">
        <f t="shared" si="48"/>
        <v>2520</v>
      </c>
      <c r="J224" s="13">
        <f t="shared" si="47"/>
        <v>-7.3618112712454895</v>
      </c>
      <c r="K224" s="10">
        <f t="shared" si="56"/>
        <v>276.7294487275657</v>
      </c>
      <c r="L224" s="13">
        <f t="shared" si="44"/>
        <v>10.634690751464705</v>
      </c>
      <c r="M224" s="10">
        <f t="shared" si="45"/>
        <v>-2.6278092485352946</v>
      </c>
      <c r="N224" s="10">
        <f t="shared" si="57"/>
        <v>254.00988212216382</v>
      </c>
      <c r="P224" s="13">
        <f t="shared" si="49"/>
        <v>3.2728794802192147</v>
      </c>
      <c r="Q224" s="13">
        <f t="shared" si="50"/>
        <v>0</v>
      </c>
    </row>
    <row r="225" spans="1:17" ht="12.75">
      <c r="A225">
        <f t="shared" si="51"/>
        <v>274</v>
      </c>
      <c r="B225" s="10">
        <f>(A225-A$224)/(A$244-A$224)*(B$244-B$224)+B$224</f>
        <v>13.55</v>
      </c>
      <c r="C225" s="10">
        <f t="shared" si="53"/>
        <v>311.515308</v>
      </c>
      <c r="E225">
        <f t="shared" si="54"/>
        <v>274</v>
      </c>
      <c r="G225" s="2">
        <f t="shared" si="55"/>
        <v>962.2065406515961</v>
      </c>
      <c r="I225" s="2">
        <f t="shared" si="48"/>
        <v>2535</v>
      </c>
      <c r="J225" s="13">
        <f t="shared" si="47"/>
        <v>-7.348364320835074</v>
      </c>
      <c r="K225" s="10">
        <f t="shared" si="56"/>
        <v>276.61468421038217</v>
      </c>
      <c r="L225" s="13">
        <f t="shared" si="44"/>
        <v>10.640199661836219</v>
      </c>
      <c r="M225" s="10">
        <f t="shared" si="45"/>
        <v>-2.6098003381637813</v>
      </c>
      <c r="N225" s="10">
        <f t="shared" si="57"/>
        <v>253.8833485691866</v>
      </c>
      <c r="P225" s="13">
        <f t="shared" si="49"/>
        <v>3.291835341001144</v>
      </c>
      <c r="Q225" s="13">
        <f t="shared" si="50"/>
        <v>0</v>
      </c>
    </row>
    <row r="226" spans="1:17" ht="12.75">
      <c r="A226">
        <f t="shared" si="51"/>
        <v>275</v>
      </c>
      <c r="B226" s="10">
        <f aca="true" t="shared" si="58" ref="B226:B243">(A226-A$224)/(A$244-A$224)*(B$244-B$224)+B$224</f>
        <v>13.6</v>
      </c>
      <c r="C226" s="10">
        <f t="shared" si="53"/>
        <v>311.515308</v>
      </c>
      <c r="E226">
        <f t="shared" si="54"/>
        <v>275</v>
      </c>
      <c r="G226" s="2">
        <f t="shared" si="55"/>
        <v>962.2065406515961</v>
      </c>
      <c r="I226" s="2">
        <f t="shared" si="48"/>
        <v>2550</v>
      </c>
      <c r="J226" s="13">
        <f t="shared" si="47"/>
        <v>-7.334663298170971</v>
      </c>
      <c r="K226" s="10">
        <f t="shared" si="56"/>
        <v>276.5001293199759</v>
      </c>
      <c r="L226" s="13">
        <f t="shared" si="44"/>
        <v>10.645400790637469</v>
      </c>
      <c r="M226" s="10">
        <f t="shared" si="45"/>
        <v>-2.604599209362531</v>
      </c>
      <c r="N226" s="10">
        <f t="shared" si="57"/>
        <v>253.7576821763413</v>
      </c>
      <c r="P226" s="13">
        <f t="shared" si="49"/>
        <v>3.3107374924664974</v>
      </c>
      <c r="Q226" s="13">
        <f t="shared" si="50"/>
        <v>0</v>
      </c>
    </row>
    <row r="227" spans="1:17" ht="12.75">
      <c r="A227">
        <f t="shared" si="51"/>
        <v>276</v>
      </c>
      <c r="B227" s="10">
        <f t="shared" si="58"/>
        <v>13.65</v>
      </c>
      <c r="C227" s="10">
        <f t="shared" si="53"/>
        <v>311.515308</v>
      </c>
      <c r="E227">
        <f t="shared" si="54"/>
        <v>276</v>
      </c>
      <c r="G227" s="2">
        <f t="shared" si="55"/>
        <v>962.2065406515961</v>
      </c>
      <c r="I227" s="2">
        <f t="shared" si="48"/>
        <v>2565</v>
      </c>
      <c r="J227" s="13">
        <f t="shared" si="47"/>
        <v>-7.320999265321092</v>
      </c>
      <c r="K227" s="10">
        <f t="shared" si="56"/>
        <v>276.3857880171221</v>
      </c>
      <c r="L227" s="13">
        <f t="shared" si="44"/>
        <v>10.650584667796767</v>
      </c>
      <c r="M227" s="10">
        <f t="shared" si="45"/>
        <v>-2.5994153322032325</v>
      </c>
      <c r="N227" s="10">
        <f t="shared" si="57"/>
        <v>253.632266226829</v>
      </c>
      <c r="P227" s="13">
        <f t="shared" si="49"/>
        <v>3.3295854024756752</v>
      </c>
      <c r="Q227" s="13">
        <f t="shared" si="50"/>
        <v>0</v>
      </c>
    </row>
    <row r="228" spans="1:17" ht="12.75">
      <c r="A228">
        <f t="shared" si="51"/>
        <v>277</v>
      </c>
      <c r="B228" s="10">
        <f t="shared" si="58"/>
        <v>13.7</v>
      </c>
      <c r="C228" s="10">
        <f t="shared" si="53"/>
        <v>311.515308</v>
      </c>
      <c r="E228">
        <f t="shared" si="54"/>
        <v>277</v>
      </c>
      <c r="G228" s="2">
        <f t="shared" si="55"/>
        <v>962.2065406515961</v>
      </c>
      <c r="I228" s="2">
        <f t="shared" si="48"/>
        <v>2580</v>
      </c>
      <c r="J228" s="13">
        <f t="shared" si="47"/>
        <v>-7.3073721242779115</v>
      </c>
      <c r="K228" s="10">
        <f t="shared" si="56"/>
        <v>276.27165972518026</v>
      </c>
      <c r="L228" s="13">
        <f t="shared" si="44"/>
        <v>10.655751412233878</v>
      </c>
      <c r="M228" s="10">
        <f t="shared" si="45"/>
        <v>-2.5942485877661223</v>
      </c>
      <c r="N228" s="10">
        <f t="shared" si="57"/>
        <v>253.50709988995334</v>
      </c>
      <c r="P228" s="13">
        <f t="shared" si="49"/>
        <v>3.3483792879559657</v>
      </c>
      <c r="Q228" s="13">
        <f t="shared" si="50"/>
        <v>0</v>
      </c>
    </row>
    <row r="229" spans="1:17" ht="12.75">
      <c r="A229">
        <f t="shared" si="51"/>
        <v>278</v>
      </c>
      <c r="B229" s="10">
        <f t="shared" si="58"/>
        <v>13.75</v>
      </c>
      <c r="C229" s="10">
        <f t="shared" si="53"/>
        <v>311.515308</v>
      </c>
      <c r="E229">
        <f t="shared" si="54"/>
        <v>278</v>
      </c>
      <c r="G229" s="2">
        <f t="shared" si="55"/>
        <v>962.2065406515961</v>
      </c>
      <c r="I229" s="2">
        <f t="shared" si="48"/>
        <v>2595</v>
      </c>
      <c r="J229" s="13">
        <f t="shared" si="47"/>
        <v>-7.293781776081213</v>
      </c>
      <c r="K229" s="10">
        <f t="shared" si="56"/>
        <v>276.15774386903786</v>
      </c>
      <c r="L229" s="13">
        <f t="shared" si="44"/>
        <v>10.660901140903425</v>
      </c>
      <c r="M229" s="10">
        <f t="shared" si="45"/>
        <v>-2.589098859096575</v>
      </c>
      <c r="N229" s="10">
        <f t="shared" si="57"/>
        <v>253.38218234074418</v>
      </c>
      <c r="P229" s="13">
        <f t="shared" si="49"/>
        <v>3.367119364822212</v>
      </c>
      <c r="Q229" s="13">
        <f t="shared" si="50"/>
        <v>0</v>
      </c>
    </row>
    <row r="230" spans="1:17" ht="12.75">
      <c r="A230">
        <f t="shared" si="51"/>
        <v>279</v>
      </c>
      <c r="B230" s="10">
        <f t="shared" si="58"/>
        <v>13.8</v>
      </c>
      <c r="C230" s="10">
        <f t="shared" si="53"/>
        <v>311.515308</v>
      </c>
      <c r="E230">
        <f t="shared" si="54"/>
        <v>279</v>
      </c>
      <c r="G230" s="2">
        <f t="shared" si="55"/>
        <v>962.2065406515961</v>
      </c>
      <c r="I230" s="2">
        <f t="shared" si="48"/>
        <v>2610</v>
      </c>
      <c r="J230" s="13">
        <f t="shared" si="47"/>
        <v>-7.2802281208668855</v>
      </c>
      <c r="K230" s="10">
        <f t="shared" si="56"/>
        <v>276.04403987512495</v>
      </c>
      <c r="L230" s="13">
        <f t="shared" si="44"/>
        <v>10.666033968846046</v>
      </c>
      <c r="M230" s="10">
        <f t="shared" si="45"/>
        <v>-2.5839660311539543</v>
      </c>
      <c r="N230" s="10">
        <f t="shared" si="57"/>
        <v>253.25751275986295</v>
      </c>
      <c r="P230" s="13">
        <f t="shared" si="49"/>
        <v>3.3858058479791597</v>
      </c>
      <c r="Q230" s="13">
        <f t="shared" si="50"/>
        <v>0</v>
      </c>
    </row>
    <row r="231" spans="1:17" ht="12.75">
      <c r="A231">
        <f t="shared" si="51"/>
        <v>280</v>
      </c>
      <c r="B231" s="10">
        <f t="shared" si="58"/>
        <v>13.85</v>
      </c>
      <c r="C231" s="10">
        <f t="shared" si="53"/>
        <v>311.515308</v>
      </c>
      <c r="E231">
        <f t="shared" si="54"/>
        <v>280</v>
      </c>
      <c r="G231" s="2">
        <f t="shared" si="55"/>
        <v>962.2065406515961</v>
      </c>
      <c r="I231" s="2">
        <f t="shared" si="48"/>
        <v>2625</v>
      </c>
      <c r="J231" s="13">
        <f t="shared" si="47"/>
        <v>-7.266711057914344</v>
      </c>
      <c r="K231" s="10">
        <f t="shared" si="56"/>
        <v>275.93054717142843</v>
      </c>
      <c r="L231" s="13">
        <f t="shared" si="44"/>
        <v>10.67115000923821</v>
      </c>
      <c r="M231" s="10">
        <f t="shared" si="45"/>
        <v>-2.578849990761791</v>
      </c>
      <c r="N231" s="10">
        <f t="shared" si="57"/>
        <v>253.13309033351044</v>
      </c>
      <c r="P231" s="13">
        <f t="shared" si="49"/>
        <v>3.404438951323865</v>
      </c>
      <c r="Q231" s="13">
        <f t="shared" si="50"/>
        <v>0</v>
      </c>
    </row>
    <row r="232" spans="1:17" ht="12.75">
      <c r="A232">
        <f t="shared" si="51"/>
        <v>281</v>
      </c>
      <c r="B232" s="10">
        <f t="shared" si="58"/>
        <v>13.9</v>
      </c>
      <c r="C232" s="10">
        <f t="shared" si="53"/>
        <v>311.515308</v>
      </c>
      <c r="E232">
        <f t="shared" si="54"/>
        <v>281</v>
      </c>
      <c r="G232" s="2">
        <f t="shared" si="55"/>
        <v>962.2065406515961</v>
      </c>
      <c r="I232" s="2">
        <f t="shared" si="48"/>
        <v>2640</v>
      </c>
      <c r="J232" s="13">
        <f t="shared" si="47"/>
        <v>-7.2532304856922565</v>
      </c>
      <c r="K232" s="10">
        <f t="shared" si="56"/>
        <v>275.8172651875054</v>
      </c>
      <c r="L232" s="13">
        <f t="shared" si="44"/>
        <v>10.67624937344049</v>
      </c>
      <c r="M232" s="10">
        <f t="shared" si="45"/>
        <v>-2.5737506265595105</v>
      </c>
      <c r="N232" s="10">
        <f t="shared" si="57"/>
        <v>253.0089142533371</v>
      </c>
      <c r="P232" s="13">
        <f t="shared" si="49"/>
        <v>3.4230188877482335</v>
      </c>
      <c r="Q232" s="13">
        <f t="shared" si="50"/>
        <v>0</v>
      </c>
    </row>
    <row r="233" spans="1:17" ht="12.75">
      <c r="A233">
        <f t="shared" si="51"/>
        <v>282</v>
      </c>
      <c r="B233" s="10">
        <f t="shared" si="58"/>
        <v>13.95</v>
      </c>
      <c r="C233" s="10">
        <f t="shared" si="53"/>
        <v>311.515308</v>
      </c>
      <c r="E233">
        <f t="shared" si="54"/>
        <v>282</v>
      </c>
      <c r="G233" s="2">
        <f t="shared" si="55"/>
        <v>962.2065406515961</v>
      </c>
      <c r="I233" s="2">
        <f t="shared" si="48"/>
        <v>2655</v>
      </c>
      <c r="J233" s="13">
        <f t="shared" si="47"/>
        <v>-7.239786301902608</v>
      </c>
      <c r="K233" s="10">
        <f t="shared" si="56"/>
        <v>275.7041933544957</v>
      </c>
      <c r="L233" s="13">
        <f t="shared" si="44"/>
        <v>10.681332171044293</v>
      </c>
      <c r="M233" s="10">
        <f t="shared" si="45"/>
        <v>-2.556167828955708</v>
      </c>
      <c r="N233" s="10">
        <f t="shared" si="57"/>
        <v>252.88498371635563</v>
      </c>
      <c r="P233" s="13">
        <f t="shared" si="49"/>
        <v>3.4415458691416845</v>
      </c>
      <c r="Q233" s="13">
        <f t="shared" si="50"/>
        <v>0</v>
      </c>
    </row>
    <row r="234" spans="1:17" ht="12.75">
      <c r="A234">
        <f t="shared" si="51"/>
        <v>283</v>
      </c>
      <c r="B234" s="10">
        <f t="shared" si="58"/>
        <v>14</v>
      </c>
      <c r="C234" s="10">
        <f t="shared" si="53"/>
        <v>311.515308</v>
      </c>
      <c r="E234">
        <f t="shared" si="54"/>
        <v>283</v>
      </c>
      <c r="G234" s="2">
        <f t="shared" si="55"/>
        <v>962.2065406515961</v>
      </c>
      <c r="I234" s="2">
        <f t="shared" si="48"/>
        <v>2670</v>
      </c>
      <c r="J234" s="13">
        <f t="shared" si="47"/>
        <v>-7.22609666469673</v>
      </c>
      <c r="K234" s="10">
        <f t="shared" si="56"/>
        <v>275.591331105134</v>
      </c>
      <c r="L234" s="13">
        <f t="shared" si="44"/>
        <v>10.68611677109058</v>
      </c>
      <c r="M234" s="10">
        <f t="shared" si="45"/>
        <v>-2.5513832289094207</v>
      </c>
      <c r="N234" s="10">
        <f t="shared" si="57"/>
        <v>252.76189982144047</v>
      </c>
      <c r="P234" s="13">
        <f t="shared" si="49"/>
        <v>3.4600201063938503</v>
      </c>
      <c r="Q234" s="13">
        <f t="shared" si="50"/>
        <v>0</v>
      </c>
    </row>
    <row r="235" spans="1:17" ht="12.75">
      <c r="A235">
        <f t="shared" si="51"/>
        <v>284</v>
      </c>
      <c r="B235" s="10">
        <f t="shared" si="58"/>
        <v>14.05</v>
      </c>
      <c r="C235" s="10">
        <f t="shared" si="53"/>
        <v>311.515308</v>
      </c>
      <c r="E235">
        <f t="shared" si="54"/>
        <v>284</v>
      </c>
      <c r="G235" s="2">
        <f t="shared" si="55"/>
        <v>962.2065406515961</v>
      </c>
      <c r="I235" s="2">
        <f t="shared" si="48"/>
        <v>2685</v>
      </c>
      <c r="J235" s="13">
        <f t="shared" si="47"/>
        <v>-7.2124523330634736</v>
      </c>
      <c r="K235" s="10">
        <f t="shared" si="56"/>
        <v>275.47868226583483</v>
      </c>
      <c r="L235" s="13">
        <f t="shared" si="44"/>
        <v>10.690893424600374</v>
      </c>
      <c r="M235" s="10">
        <f t="shared" si="45"/>
        <v>-2.546606575399627</v>
      </c>
      <c r="N235" s="10">
        <f t="shared" si="57"/>
        <v>252.6390463132795</v>
      </c>
      <c r="P235" s="13">
        <f t="shared" si="49"/>
        <v>3.4784410915369</v>
      </c>
      <c r="Q235" s="13">
        <f t="shared" si="50"/>
        <v>0</v>
      </c>
    </row>
    <row r="236" spans="1:17" ht="12.75">
      <c r="A236">
        <f t="shared" si="51"/>
        <v>285</v>
      </c>
      <c r="B236" s="10">
        <f t="shared" si="58"/>
        <v>14.1</v>
      </c>
      <c r="C236" s="10">
        <f t="shared" si="53"/>
        <v>311.515308</v>
      </c>
      <c r="E236">
        <f t="shared" si="54"/>
        <v>285</v>
      </c>
      <c r="G236" s="2">
        <f t="shared" si="55"/>
        <v>962.2065406515961</v>
      </c>
      <c r="I236" s="2">
        <f t="shared" si="48"/>
        <v>2700</v>
      </c>
      <c r="J236" s="13">
        <f t="shared" si="47"/>
        <v>-7.198852921256176</v>
      </c>
      <c r="K236" s="10">
        <f t="shared" si="56"/>
        <v>275.3662461303221</v>
      </c>
      <c r="L236" s="13">
        <f aca="true" t="shared" si="59" ref="L236:L299">(K236-N236)/D$12</f>
        <v>10.695661980084129</v>
      </c>
      <c r="M236" s="10">
        <f t="shared" si="45"/>
        <v>-2.541838019915872</v>
      </c>
      <c r="N236" s="10">
        <f t="shared" si="57"/>
        <v>252.5164228092333</v>
      </c>
      <c r="P236" s="13">
        <f t="shared" si="49"/>
        <v>3.496809058827953</v>
      </c>
      <c r="Q236" s="13">
        <f t="shared" si="50"/>
        <v>0</v>
      </c>
    </row>
    <row r="237" spans="1:17" ht="12.75">
      <c r="A237">
        <f t="shared" si="51"/>
        <v>286</v>
      </c>
      <c r="B237" s="10">
        <f t="shared" si="58"/>
        <v>14.15</v>
      </c>
      <c r="C237" s="10">
        <f t="shared" si="53"/>
        <v>311.515308</v>
      </c>
      <c r="E237">
        <f t="shared" si="54"/>
        <v>286</v>
      </c>
      <c r="G237" s="2">
        <f t="shared" si="55"/>
        <v>962.2065406515961</v>
      </c>
      <c r="I237" s="2">
        <f t="shared" si="48"/>
        <v>2715</v>
      </c>
      <c r="J237" s="13">
        <f t="shared" si="47"/>
        <v>-7.1852980515673375</v>
      </c>
      <c r="K237" s="10">
        <f t="shared" si="56"/>
        <v>275.25402199833303</v>
      </c>
      <c r="L237" s="13">
        <f t="shared" si="59"/>
        <v>10.700422292281559</v>
      </c>
      <c r="M237" s="10">
        <f t="shared" si="45"/>
        <v>-2.537077707718442</v>
      </c>
      <c r="N237" s="10">
        <f t="shared" si="57"/>
        <v>252.39402891936788</v>
      </c>
      <c r="P237" s="13">
        <f t="shared" si="49"/>
        <v>3.515124240714221</v>
      </c>
      <c r="Q237" s="13">
        <f t="shared" si="50"/>
        <v>0</v>
      </c>
    </row>
    <row r="238" spans="1:17" ht="12.75">
      <c r="A238">
        <f t="shared" si="51"/>
        <v>287</v>
      </c>
      <c r="B238" s="10">
        <f t="shared" si="58"/>
        <v>14.2</v>
      </c>
      <c r="C238" s="10">
        <f t="shared" si="53"/>
        <v>311.515308</v>
      </c>
      <c r="E238">
        <f t="shared" si="54"/>
        <v>287</v>
      </c>
      <c r="G238" s="2">
        <f t="shared" si="55"/>
        <v>962.2065406515961</v>
      </c>
      <c r="I238" s="2">
        <f t="shared" si="48"/>
        <v>2730</v>
      </c>
      <c r="J238" s="13">
        <f t="shared" si="47"/>
        <v>-7.171787354100292</v>
      </c>
      <c r="K238" s="10">
        <f t="shared" si="56"/>
        <v>275.142009175493</v>
      </c>
      <c r="L238" s="13">
        <f t="shared" si="59"/>
        <v>10.70517422196255</v>
      </c>
      <c r="M238" s="10">
        <f aca="true" t="shared" si="60" ref="M238:M301">L238-VLOOKUP(N238,A$44:C$251,2,TRUE)</f>
        <v>-2.5323257780374515</v>
      </c>
      <c r="N238" s="10">
        <f t="shared" si="57"/>
        <v>252.27186424675483</v>
      </c>
      <c r="P238" s="13">
        <f t="shared" si="49"/>
        <v>3.5333868678622573</v>
      </c>
      <c r="Q238" s="13">
        <f t="shared" si="50"/>
        <v>0</v>
      </c>
    </row>
    <row r="239" spans="1:17" ht="12.75">
      <c r="A239">
        <f t="shared" si="51"/>
        <v>288</v>
      </c>
      <c r="B239" s="10">
        <f t="shared" si="58"/>
        <v>14.25</v>
      </c>
      <c r="C239" s="10">
        <f t="shared" si="53"/>
        <v>311.515308</v>
      </c>
      <c r="E239">
        <f t="shared" si="54"/>
        <v>288</v>
      </c>
      <c r="G239" s="2">
        <f t="shared" si="55"/>
        <v>962.2065406515961</v>
      </c>
      <c r="I239" s="2">
        <f t="shared" si="48"/>
        <v>2745</v>
      </c>
      <c r="J239" s="13">
        <f t="shared" si="47"/>
        <v>-7.158320466547837</v>
      </c>
      <c r="K239" s="10">
        <f t="shared" si="56"/>
        <v>275.03020697319386</v>
      </c>
      <c r="L239" s="13">
        <f t="shared" si="59"/>
        <v>10.709917635734312</v>
      </c>
      <c r="M239" s="10">
        <f t="shared" si="60"/>
        <v>-2.5275823642656885</v>
      </c>
      <c r="N239" s="10">
        <f t="shared" si="57"/>
        <v>252.14992838776146</v>
      </c>
      <c r="P239" s="13">
        <f t="shared" si="49"/>
        <v>3.551597169186476</v>
      </c>
      <c r="Q239" s="13">
        <f t="shared" si="50"/>
        <v>0</v>
      </c>
    </row>
    <row r="240" spans="1:17" ht="12.75">
      <c r="A240">
        <f t="shared" si="51"/>
        <v>289</v>
      </c>
      <c r="B240" s="10">
        <f t="shared" si="58"/>
        <v>14.3</v>
      </c>
      <c r="C240" s="10">
        <f t="shared" si="53"/>
        <v>311.515308</v>
      </c>
      <c r="E240">
        <f t="shared" si="54"/>
        <v>289</v>
      </c>
      <c r="G240" s="2">
        <f t="shared" si="55"/>
        <v>962.2065406515961</v>
      </c>
      <c r="I240" s="2">
        <f t="shared" si="48"/>
        <v>2760</v>
      </c>
      <c r="J240" s="13">
        <f t="shared" si="47"/>
        <v>-7.144897033977386</v>
      </c>
      <c r="K240" s="10">
        <f t="shared" si="56"/>
        <v>274.9186147084754</v>
      </c>
      <c r="L240" s="13">
        <f t="shared" si="59"/>
        <v>10.714652405854324</v>
      </c>
      <c r="M240" s="10">
        <f t="shared" si="60"/>
        <v>-2.522847594145677</v>
      </c>
      <c r="N240" s="10">
        <f t="shared" si="57"/>
        <v>252.02822093233206</v>
      </c>
      <c r="P240" s="13">
        <f t="shared" si="49"/>
        <v>3.569755371876938</v>
      </c>
      <c r="Q240" s="13">
        <f t="shared" si="50"/>
        <v>0</v>
      </c>
    </row>
    <row r="241" spans="1:17" ht="12.75">
      <c r="A241">
        <f t="shared" si="51"/>
        <v>290</v>
      </c>
      <c r="B241" s="10">
        <f t="shared" si="58"/>
        <v>14.35</v>
      </c>
      <c r="C241" s="10">
        <f t="shared" si="53"/>
        <v>311.515308</v>
      </c>
      <c r="E241">
        <f t="shared" si="54"/>
        <v>290</v>
      </c>
      <c r="G241" s="2">
        <f t="shared" si="55"/>
        <v>962.2065406515961</v>
      </c>
      <c r="I241" s="2">
        <f t="shared" si="48"/>
        <v>2775</v>
      </c>
      <c r="J241" s="13">
        <f t="shared" si="47"/>
        <v>-7.1315167086228906</v>
      </c>
      <c r="K241" s="10">
        <f t="shared" si="56"/>
        <v>274.8072317039106</v>
      </c>
      <c r="L241" s="13">
        <f t="shared" si="59"/>
        <v>10.719378410049268</v>
      </c>
      <c r="M241" s="10">
        <f t="shared" si="60"/>
        <v>-2.5056215899507315</v>
      </c>
      <c r="N241" s="10">
        <f t="shared" si="57"/>
        <v>251.90674146425988</v>
      </c>
      <c r="P241" s="13">
        <f t="shared" si="49"/>
        <v>3.5878617014263776</v>
      </c>
      <c r="Q241" s="13">
        <f t="shared" si="50"/>
        <v>0</v>
      </c>
    </row>
    <row r="242" spans="1:17" ht="12.75">
      <c r="A242">
        <f t="shared" si="51"/>
        <v>291</v>
      </c>
      <c r="B242" s="10">
        <f t="shared" si="58"/>
        <v>14.4</v>
      </c>
      <c r="C242" s="10">
        <f t="shared" si="53"/>
        <v>311.515308</v>
      </c>
      <c r="E242">
        <f t="shared" si="54"/>
        <v>291</v>
      </c>
      <c r="G242" s="2">
        <f t="shared" si="55"/>
        <v>962.2065406515961</v>
      </c>
      <c r="I242" s="2">
        <f t="shared" si="48"/>
        <v>2790</v>
      </c>
      <c r="J242" s="13">
        <f t="shared" si="47"/>
        <v>-7.117897410855917</v>
      </c>
      <c r="K242" s="10">
        <f t="shared" si="56"/>
        <v>274.69605728749383</v>
      </c>
      <c r="L242" s="13">
        <f t="shared" si="59"/>
        <v>10.723813792512523</v>
      </c>
      <c r="M242" s="10">
        <f t="shared" si="60"/>
        <v>-2.5011862074874767</v>
      </c>
      <c r="N242" s="10">
        <f t="shared" si="57"/>
        <v>251.78609145803526</v>
      </c>
      <c r="P242" s="13">
        <f t="shared" si="49"/>
        <v>3.605916381656605</v>
      </c>
      <c r="Q242" s="13">
        <f t="shared" si="50"/>
        <v>0</v>
      </c>
    </row>
    <row r="243" spans="1:17" ht="12.75">
      <c r="A243">
        <f t="shared" si="51"/>
        <v>292</v>
      </c>
      <c r="B243" s="10">
        <f t="shared" si="58"/>
        <v>14.45</v>
      </c>
      <c r="C243" s="10">
        <f t="shared" si="53"/>
        <v>311.515308</v>
      </c>
      <c r="E243">
        <f t="shared" si="54"/>
        <v>292</v>
      </c>
      <c r="G243" s="2">
        <f t="shared" si="55"/>
        <v>962.2065406515961</v>
      </c>
      <c r="I243" s="2">
        <f t="shared" si="48"/>
        <v>2805</v>
      </c>
      <c r="J243" s="13">
        <f t="shared" si="47"/>
        <v>-7.1043296636993984</v>
      </c>
      <c r="K243" s="10">
        <f t="shared" si="56"/>
        <v>274.5850951846063</v>
      </c>
      <c r="L243" s="13">
        <f t="shared" si="59"/>
        <v>10.728248586220516</v>
      </c>
      <c r="M243" s="10">
        <f t="shared" si="60"/>
        <v>-2.4967514137794833</v>
      </c>
      <c r="N243" s="10">
        <f t="shared" si="57"/>
        <v>251.6656550231352</v>
      </c>
      <c r="P243" s="13">
        <f t="shared" si="49"/>
        <v>3.623918922521118</v>
      </c>
      <c r="Q243" s="13">
        <f t="shared" si="50"/>
        <v>0</v>
      </c>
    </row>
    <row r="244" spans="1:17" ht="12.75">
      <c r="A244" s="14">
        <f t="shared" si="51"/>
        <v>293</v>
      </c>
      <c r="B244" s="14">
        <v>14.5</v>
      </c>
      <c r="C244" s="10">
        <f t="shared" si="53"/>
        <v>311.515308</v>
      </c>
      <c r="E244" s="14">
        <f t="shared" si="54"/>
        <v>293</v>
      </c>
      <c r="G244" s="2">
        <f t="shared" si="55"/>
        <v>962.2065406515961</v>
      </c>
      <c r="I244" s="2">
        <f t="shared" si="48"/>
        <v>2820</v>
      </c>
      <c r="J244" s="13">
        <f t="shared" si="47"/>
        <v>-7.090812858582714</v>
      </c>
      <c r="K244" s="10">
        <f t="shared" si="56"/>
        <v>274.47434459161684</v>
      </c>
      <c r="L244" s="13">
        <f t="shared" si="59"/>
        <v>10.73268242827548</v>
      </c>
      <c r="M244" s="10">
        <f t="shared" si="60"/>
        <v>-2.49231757172452</v>
      </c>
      <c r="N244" s="10">
        <f t="shared" si="57"/>
        <v>251.54543213121013</v>
      </c>
      <c r="P244" s="13">
        <f t="shared" si="49"/>
        <v>3.6418695696927657</v>
      </c>
      <c r="Q244" s="13">
        <f t="shared" si="50"/>
        <v>0</v>
      </c>
    </row>
    <row r="245" spans="1:17" ht="12.75">
      <c r="A245">
        <f t="shared" si="51"/>
        <v>294</v>
      </c>
      <c r="B245" s="10">
        <f>B244</f>
        <v>14.5</v>
      </c>
      <c r="C245" s="10">
        <f t="shared" si="53"/>
        <v>311.515308</v>
      </c>
      <c r="E245">
        <f t="shared" si="54"/>
        <v>294</v>
      </c>
      <c r="G245" s="2">
        <f t="shared" si="55"/>
        <v>962.2065406515961</v>
      </c>
      <c r="I245" s="2">
        <f t="shared" si="48"/>
        <v>2835</v>
      </c>
      <c r="J245" s="13">
        <f t="shared" si="47"/>
        <v>-7.077346401961638</v>
      </c>
      <c r="K245" s="10">
        <f t="shared" si="56"/>
        <v>274.36380471438144</v>
      </c>
      <c r="L245" s="13">
        <f t="shared" si="59"/>
        <v>10.737114968399855</v>
      </c>
      <c r="M245" s="10">
        <f t="shared" si="60"/>
        <v>-2.487885031600145</v>
      </c>
      <c r="N245" s="10">
        <f t="shared" si="57"/>
        <v>251.4254227364363</v>
      </c>
      <c r="P245" s="13">
        <f t="shared" si="49"/>
        <v>3.659768566438217</v>
      </c>
      <c r="Q245" s="13">
        <f t="shared" si="50"/>
        <v>0</v>
      </c>
    </row>
    <row r="246" spans="1:17" ht="12.75">
      <c r="A246">
        <f t="shared" si="51"/>
        <v>295</v>
      </c>
      <c r="B246" s="10">
        <f aca="true" t="shared" si="61" ref="B246:B251">B245</f>
        <v>14.5</v>
      </c>
      <c r="C246" s="10">
        <f t="shared" si="53"/>
        <v>311.515308</v>
      </c>
      <c r="E246">
        <f t="shared" si="54"/>
        <v>295</v>
      </c>
      <c r="G246" s="2">
        <f t="shared" si="55"/>
        <v>962.2065406515961</v>
      </c>
      <c r="I246" s="2">
        <f t="shared" si="48"/>
        <v>2850</v>
      </c>
      <c r="J246" s="13">
        <f t="shared" si="47"/>
        <v>-7.063929714874418</v>
      </c>
      <c r="K246" s="10">
        <f t="shared" si="56"/>
        <v>274.25347476800886</v>
      </c>
      <c r="L246" s="13">
        <f t="shared" si="59"/>
        <v>10.741545868542088</v>
      </c>
      <c r="M246" s="10">
        <f t="shared" si="60"/>
        <v>-2.4834541314579113</v>
      </c>
      <c r="N246" s="10">
        <f t="shared" si="57"/>
        <v>251.3056267761235</v>
      </c>
      <c r="P246" s="13">
        <f t="shared" si="49"/>
        <v>3.67761615366767</v>
      </c>
      <c r="Q246" s="13">
        <f t="shared" si="50"/>
        <v>0</v>
      </c>
    </row>
    <row r="247" spans="1:17" ht="12.75">
      <c r="A247">
        <f t="shared" si="51"/>
        <v>296</v>
      </c>
      <c r="B247" s="10">
        <f t="shared" si="61"/>
        <v>14.5</v>
      </c>
      <c r="C247" s="10">
        <f t="shared" si="53"/>
        <v>311.515308</v>
      </c>
      <c r="E247">
        <f t="shared" si="54"/>
        <v>296</v>
      </c>
      <c r="G247" s="2">
        <f t="shared" si="55"/>
        <v>962.2065406515961</v>
      </c>
      <c r="I247" s="2">
        <f t="shared" si="48"/>
        <v>2865</v>
      </c>
      <c r="J247" s="13">
        <f t="shared" si="47"/>
        <v>-7.050562232511684</v>
      </c>
      <c r="K247" s="10">
        <f t="shared" si="56"/>
        <v>274.1433539766335</v>
      </c>
      <c r="L247" s="13">
        <f t="shared" si="59"/>
        <v>10.745974802494773</v>
      </c>
      <c r="M247" s="10">
        <f t="shared" si="60"/>
        <v>-2.4790251975052264</v>
      </c>
      <c r="N247" s="10">
        <f t="shared" si="57"/>
        <v>251.18604417130373</v>
      </c>
      <c r="P247" s="13">
        <f t="shared" si="49"/>
        <v>3.6954125699830898</v>
      </c>
      <c r="Q247" s="13">
        <f t="shared" si="50"/>
        <v>0</v>
      </c>
    </row>
    <row r="248" spans="1:17" ht="12.75">
      <c r="A248">
        <f t="shared" si="51"/>
        <v>297</v>
      </c>
      <c r="B248" s="10">
        <f t="shared" si="61"/>
        <v>14.5</v>
      </c>
      <c r="C248" s="10">
        <f t="shared" si="53"/>
        <v>311.515308</v>
      </c>
      <c r="E248">
        <f t="shared" si="54"/>
        <v>297</v>
      </c>
      <c r="G248" s="2">
        <f t="shared" si="55"/>
        <v>962.2065406515961</v>
      </c>
      <c r="I248" s="2">
        <f t="shared" si="48"/>
        <v>2880</v>
      </c>
      <c r="J248" s="13">
        <f aca="true" t="shared" si="62" ref="J248:J311">(D$7-K248)*(1/D$13+1/D$14)+D$16*(D$19*D$21*D$17+D$20*D$22*D$18)*(D$7^4-K248^4)-(K248-N248)/D$12</f>
        <v>-7.037243403799209</v>
      </c>
      <c r="K248" s="10">
        <f t="shared" si="56"/>
        <v>274.0334415731945</v>
      </c>
      <c r="L248" s="13">
        <f t="shared" si="59"/>
        <v>10.750401455524335</v>
      </c>
      <c r="M248" s="10">
        <f t="shared" si="60"/>
        <v>-2.474598544475665</v>
      </c>
      <c r="N248" s="10">
        <f t="shared" si="57"/>
        <v>251.06667482730163</v>
      </c>
      <c r="P248" s="13">
        <f t="shared" si="49"/>
        <v>3.7131580517251255</v>
      </c>
      <c r="Q248" s="13">
        <f t="shared" si="50"/>
        <v>0</v>
      </c>
    </row>
    <row r="249" spans="1:17" ht="12.75">
      <c r="A249">
        <f t="shared" si="51"/>
        <v>298</v>
      </c>
      <c r="B249" s="10">
        <f t="shared" si="61"/>
        <v>14.5</v>
      </c>
      <c r="C249" s="10">
        <f t="shared" si="53"/>
        <v>311.515308</v>
      </c>
      <c r="E249">
        <f t="shared" si="54"/>
        <v>298</v>
      </c>
      <c r="G249" s="2">
        <f t="shared" si="55"/>
        <v>962.2065406515961</v>
      </c>
      <c r="I249" s="2">
        <f aca="true" t="shared" si="63" ref="I249:I312">I248+I$41</f>
        <v>2895</v>
      </c>
      <c r="J249" s="13">
        <f t="shared" si="62"/>
        <v>-7.023972690993649</v>
      </c>
      <c r="K249" s="10">
        <f t="shared" si="56"/>
        <v>273.92373679922207</v>
      </c>
      <c r="L249" s="13">
        <f t="shared" si="59"/>
        <v>10.754825524012277</v>
      </c>
      <c r="M249" s="10">
        <f t="shared" si="60"/>
        <v>-2.457674475987723</v>
      </c>
      <c r="N249" s="10">
        <f t="shared" si="57"/>
        <v>250.94751863428675</v>
      </c>
      <c r="P249" s="13">
        <f aca="true" t="shared" si="64" ref="P249:P312">(D$7-K249)*(1/D$13+1/D$14)+D$16*(D$19*D$21*D$17+D$20*D$22*D$18)*(D$7^4-K249^4)</f>
        <v>3.730852833018629</v>
      </c>
      <c r="Q249" s="13">
        <f aca="true" t="shared" si="65" ref="Q249:Q312">IF(K249=D$8,-J249,0)</f>
        <v>0</v>
      </c>
    </row>
    <row r="250" spans="1:17" ht="12.75">
      <c r="A250">
        <f>A249+1</f>
        <v>299</v>
      </c>
      <c r="B250" s="10">
        <f t="shared" si="61"/>
        <v>14.5</v>
      </c>
      <c r="C250" s="10">
        <f>C249</f>
        <v>311.515308</v>
      </c>
      <c r="E250">
        <f>E249+1</f>
        <v>299</v>
      </c>
      <c r="G250" s="2">
        <f>G249</f>
        <v>962.2065406515961</v>
      </c>
      <c r="I250" s="2">
        <f t="shared" si="63"/>
        <v>2910</v>
      </c>
      <c r="J250" s="13">
        <f t="shared" si="62"/>
        <v>-7.010467830463423</v>
      </c>
      <c r="K250" s="10">
        <f t="shared" si="56"/>
        <v>273.8142389046291</v>
      </c>
      <c r="L250" s="13">
        <f t="shared" si="59"/>
        <v>10.758964976280371</v>
      </c>
      <c r="M250" s="10">
        <f t="shared" si="60"/>
        <v>-2.4535350237196294</v>
      </c>
      <c r="N250" s="10">
        <f t="shared" si="57"/>
        <v>250.8291773643938</v>
      </c>
      <c r="P250" s="13">
        <f t="shared" si="64"/>
        <v>3.7484971458169483</v>
      </c>
      <c r="Q250" s="13">
        <f t="shared" si="65"/>
        <v>0</v>
      </c>
    </row>
    <row r="251" spans="1:17" ht="12.75">
      <c r="A251">
        <f>A250+1</f>
        <v>300</v>
      </c>
      <c r="B251" s="10">
        <f t="shared" si="61"/>
        <v>14.5</v>
      </c>
      <c r="C251" s="10">
        <f>C250</f>
        <v>311.515308</v>
      </c>
      <c r="E251">
        <f>E250+1</f>
        <v>300</v>
      </c>
      <c r="G251" s="2">
        <f>G250</f>
        <v>962.2065406515961</v>
      </c>
      <c r="I251" s="2">
        <f t="shared" si="63"/>
        <v>2925</v>
      </c>
      <c r="J251" s="13">
        <f t="shared" si="62"/>
        <v>-6.997019161501383</v>
      </c>
      <c r="K251" s="10">
        <f t="shared" si="56"/>
        <v>273.70495153958404</v>
      </c>
      <c r="L251" s="13">
        <f t="shared" si="59"/>
        <v>10.76310967474018</v>
      </c>
      <c r="M251" s="10">
        <f t="shared" si="60"/>
        <v>-2.44939032525982</v>
      </c>
      <c r="N251" s="10">
        <f t="shared" si="57"/>
        <v>250.71103541627548</v>
      </c>
      <c r="P251" s="13">
        <f t="shared" si="64"/>
        <v>3.766090513238798</v>
      </c>
      <c r="Q251" s="13">
        <f t="shared" si="65"/>
        <v>0</v>
      </c>
    </row>
    <row r="252" spans="9:17" ht="12.75">
      <c r="I252" s="2">
        <f t="shared" si="63"/>
        <v>2940</v>
      </c>
      <c r="J252" s="13">
        <f t="shared" si="62"/>
        <v>-6.9836259032119505</v>
      </c>
      <c r="K252" s="10">
        <f t="shared" si="56"/>
        <v>273.595873828107</v>
      </c>
      <c r="L252" s="13">
        <f t="shared" si="59"/>
        <v>10.767259091114132</v>
      </c>
      <c r="M252" s="10">
        <f t="shared" si="60"/>
        <v>-2.445240908885868</v>
      </c>
      <c r="N252" s="10">
        <f t="shared" si="57"/>
        <v>250.593093042545</v>
      </c>
      <c r="P252" s="13">
        <f t="shared" si="64"/>
        <v>3.783633187902182</v>
      </c>
      <c r="Q252" s="13">
        <f t="shared" si="65"/>
        <v>0</v>
      </c>
    </row>
    <row r="253" spans="9:17" ht="12.75">
      <c r="I253" s="2">
        <f t="shared" si="63"/>
        <v>2955</v>
      </c>
      <c r="J253" s="13">
        <f t="shared" si="62"/>
        <v>-6.970287295152766</v>
      </c>
      <c r="K253" s="10">
        <f t="shared" si="56"/>
        <v>273.4870049063917</v>
      </c>
      <c r="L253" s="13">
        <f t="shared" si="59"/>
        <v>10.77141271472977</v>
      </c>
      <c r="M253" s="10">
        <f t="shared" si="60"/>
        <v>-2.44108728527023</v>
      </c>
      <c r="N253" s="10">
        <f t="shared" si="57"/>
        <v>250.4753504703781</v>
      </c>
      <c r="P253" s="13">
        <f t="shared" si="64"/>
        <v>3.801125419577004</v>
      </c>
      <c r="Q253" s="13">
        <f t="shared" si="65"/>
        <v>0</v>
      </c>
    </row>
    <row r="254" spans="9:17" ht="12.75">
      <c r="I254" s="2">
        <f t="shared" si="63"/>
        <v>2970</v>
      </c>
      <c r="J254" s="13">
        <f t="shared" si="62"/>
        <v>-6.957002596723614</v>
      </c>
      <c r="K254" s="10">
        <f t="shared" si="56"/>
        <v>273.3783439224864</v>
      </c>
      <c r="L254" s="13">
        <f t="shared" si="59"/>
        <v>10.775570051973741</v>
      </c>
      <c r="M254" s="10">
        <f t="shared" si="60"/>
        <v>-2.4369299480262594</v>
      </c>
      <c r="N254" s="10">
        <f t="shared" si="57"/>
        <v>250.3578079023607</v>
      </c>
      <c r="P254" s="13">
        <f t="shared" si="64"/>
        <v>3.818567455250127</v>
      </c>
      <c r="Q254" s="13">
        <f t="shared" si="65"/>
        <v>0</v>
      </c>
    </row>
    <row r="255" spans="9:17" ht="12.75">
      <c r="I255" s="2">
        <f t="shared" si="63"/>
        <v>2985</v>
      </c>
      <c r="J255" s="13">
        <f t="shared" si="62"/>
        <v>-6.94377108657395</v>
      </c>
      <c r="K255" s="10">
        <f t="shared" si="56"/>
        <v>273.2698900359849</v>
      </c>
      <c r="L255" s="13">
        <f t="shared" si="59"/>
        <v>10.779730625762515</v>
      </c>
      <c r="M255" s="10">
        <f t="shared" si="60"/>
        <v>-2.432769374237486</v>
      </c>
      <c r="N255" s="10">
        <f t="shared" si="57"/>
        <v>250.2404655173104</v>
      </c>
      <c r="P255" s="13">
        <f t="shared" si="64"/>
        <v>3.8359595391885652</v>
      </c>
      <c r="Q255" s="13">
        <f t="shared" si="65"/>
        <v>0</v>
      </c>
    </row>
    <row r="256" spans="9:17" ht="12.75">
      <c r="I256" s="2">
        <f t="shared" si="63"/>
        <v>3000</v>
      </c>
      <c r="J256" s="13">
        <f t="shared" si="62"/>
        <v>-6.930592062028605</v>
      </c>
      <c r="K256" s="10">
        <f t="shared" si="56"/>
        <v>273.16164241772606</v>
      </c>
      <c r="L256" s="13">
        <f t="shared" si="59"/>
        <v>10.78389397502934</v>
      </c>
      <c r="M256" s="10">
        <f t="shared" si="60"/>
        <v>-2.4286060249706605</v>
      </c>
      <c r="N256" s="10">
        <f t="shared" si="57"/>
        <v>250.12332347107247</v>
      </c>
      <c r="P256" s="13">
        <f t="shared" si="64"/>
        <v>3.8533019130007347</v>
      </c>
      <c r="Q256" s="13">
        <f t="shared" si="65"/>
        <v>0</v>
      </c>
    </row>
    <row r="257" spans="9:17" ht="12.75">
      <c r="I257" s="2">
        <f t="shared" si="63"/>
        <v>3015</v>
      </c>
      <c r="J257" s="13">
        <f t="shared" si="62"/>
        <v>-6.9174648385308855</v>
      </c>
      <c r="K257" s="10">
        <f t="shared" si="56"/>
        <v>273.05360024950295</v>
      </c>
      <c r="L257" s="13">
        <f t="shared" si="59"/>
        <v>10.7880596542269</v>
      </c>
      <c r="M257" s="10">
        <f t="shared" si="60"/>
        <v>-2.4244403457730996</v>
      </c>
      <c r="N257" s="10">
        <f t="shared" si="57"/>
        <v>250.00638189729094</v>
      </c>
      <c r="P257" s="13">
        <f t="shared" si="64"/>
        <v>3.8705948156960153</v>
      </c>
      <c r="Q257" s="13">
        <f t="shared" si="65"/>
        <v>0</v>
      </c>
    </row>
    <row r="258" spans="9:17" ht="12.75">
      <c r="I258" s="2">
        <f t="shared" si="63"/>
        <v>3030</v>
      </c>
      <c r="J258" s="13">
        <f t="shared" si="62"/>
        <v>-6.904388749103049</v>
      </c>
      <c r="K258" s="10">
        <f t="shared" si="56"/>
        <v>272.9457627237804</v>
      </c>
      <c r="L258" s="13">
        <f t="shared" si="59"/>
        <v>10.792227232845455</v>
      </c>
      <c r="M258" s="10">
        <f t="shared" si="60"/>
        <v>-2.407772767154544</v>
      </c>
      <c r="N258" s="10">
        <f t="shared" si="57"/>
        <v>249.889640908156</v>
      </c>
      <c r="P258" s="13">
        <f t="shared" si="64"/>
        <v>3.8878384837424065</v>
      </c>
      <c r="Q258" s="13">
        <f t="shared" si="65"/>
        <v>0</v>
      </c>
    </row>
    <row r="259" spans="9:17" ht="12.75">
      <c r="I259" s="2">
        <f t="shared" si="63"/>
        <v>3045</v>
      </c>
      <c r="J259" s="13">
        <f t="shared" si="62"/>
        <v>-6.891081404995879</v>
      </c>
      <c r="K259" s="10">
        <f t="shared" si="56"/>
        <v>272.8381290434206</v>
      </c>
      <c r="L259" s="13">
        <f t="shared" si="59"/>
        <v>10.796114556118537</v>
      </c>
      <c r="M259" s="10">
        <f t="shared" si="60"/>
        <v>-2.403885443881462</v>
      </c>
      <c r="N259" s="10">
        <f t="shared" si="57"/>
        <v>249.77370249171284</v>
      </c>
      <c r="P259" s="13">
        <f t="shared" si="64"/>
        <v>3.905033151122658</v>
      </c>
      <c r="Q259" s="13">
        <f t="shared" si="65"/>
        <v>0</v>
      </c>
    </row>
    <row r="260" spans="9:17" ht="12.75">
      <c r="I260" s="2">
        <f t="shared" si="63"/>
        <v>3060</v>
      </c>
      <c r="J260" s="13">
        <f t="shared" si="62"/>
        <v>-6.877833018308685</v>
      </c>
      <c r="K260" s="10">
        <f t="shared" si="56"/>
        <v>272.7307028134919</v>
      </c>
      <c r="L260" s="13">
        <f t="shared" si="59"/>
        <v>10.800011367056788</v>
      </c>
      <c r="M260" s="10">
        <f t="shared" si="60"/>
        <v>-2.399988632943211</v>
      </c>
      <c r="N260" s="10">
        <f t="shared" si="57"/>
        <v>249.65795125659787</v>
      </c>
      <c r="P260" s="13">
        <f t="shared" si="64"/>
        <v>3.9221783487481026</v>
      </c>
      <c r="Q260" s="13">
        <f t="shared" si="65"/>
        <v>0</v>
      </c>
    </row>
    <row r="261" spans="9:17" ht="12.75">
      <c r="I261" s="2">
        <f t="shared" si="63"/>
        <v>3075</v>
      </c>
      <c r="J261" s="13">
        <f t="shared" si="62"/>
        <v>-6.864642691188404</v>
      </c>
      <c r="K261" s="10">
        <f t="shared" si="56"/>
        <v>272.6234831148971</v>
      </c>
      <c r="L261" s="13">
        <f t="shared" si="59"/>
        <v>10.803917021601046</v>
      </c>
      <c r="M261" s="10">
        <f t="shared" si="60"/>
        <v>-2.396082978398953</v>
      </c>
      <c r="N261" s="10">
        <f t="shared" si="57"/>
        <v>249.54238765965852</v>
      </c>
      <c r="P261" s="13">
        <f t="shared" si="64"/>
        <v>3.9392743304126427</v>
      </c>
      <c r="Q261" s="13">
        <f t="shared" si="65"/>
        <v>0</v>
      </c>
    </row>
    <row r="262" spans="9:17" ht="12.75">
      <c r="I262" s="2">
        <f t="shared" si="63"/>
        <v>3090</v>
      </c>
      <c r="J262" s="13">
        <f t="shared" si="62"/>
        <v>-6.85150954996963</v>
      </c>
      <c r="K262" s="10">
        <f t="shared" si="56"/>
        <v>272.5164690425358</v>
      </c>
      <c r="L262" s="13">
        <f t="shared" si="59"/>
        <v>10.8078308967603</v>
      </c>
      <c r="M262" s="10">
        <f t="shared" si="60"/>
        <v>-2.3921691032396986</v>
      </c>
      <c r="N262" s="10">
        <f t="shared" si="57"/>
        <v>249.4270121267297</v>
      </c>
      <c r="P262" s="13">
        <f t="shared" si="64"/>
        <v>3.956321346790671</v>
      </c>
      <c r="Q262" s="13">
        <f t="shared" si="65"/>
        <v>0</v>
      </c>
    </row>
    <row r="263" spans="9:17" ht="12.75">
      <c r="I263" s="2">
        <f t="shared" si="63"/>
        <v>3105</v>
      </c>
      <c r="J263" s="13">
        <f t="shared" si="62"/>
        <v>-6.838432744448316</v>
      </c>
      <c r="K263" s="10">
        <f t="shared" si="56"/>
        <v>272.4096597049273</v>
      </c>
      <c r="L263" s="13">
        <f t="shared" si="59"/>
        <v>10.81175238996043</v>
      </c>
      <c r="M263" s="10">
        <f t="shared" si="60"/>
        <v>-2.388247610039569</v>
      </c>
      <c r="N263" s="10">
        <f t="shared" si="57"/>
        <v>249.31182505364822</v>
      </c>
      <c r="P263" s="13">
        <f t="shared" si="64"/>
        <v>3.973319645512114</v>
      </c>
      <c r="Q263" s="13">
        <f t="shared" si="65"/>
        <v>0</v>
      </c>
    </row>
    <row r="264" spans="9:17" ht="12.75">
      <c r="I264" s="2">
        <f t="shared" si="63"/>
        <v>3120</v>
      </c>
      <c r="J264" s="13">
        <f t="shared" si="62"/>
        <v>-6.825411447177449</v>
      </c>
      <c r="K264" s="10">
        <f t="shared" si="56"/>
        <v>272.303054223845</v>
      </c>
      <c r="L264" s="13">
        <f t="shared" si="59"/>
        <v>10.815680918412758</v>
      </c>
      <c r="M264" s="10">
        <f t="shared" si="60"/>
        <v>-2.3843190815872415</v>
      </c>
      <c r="N264" s="10">
        <f t="shared" si="57"/>
        <v>249.1968268072359</v>
      </c>
      <c r="P264" s="13">
        <f t="shared" si="64"/>
        <v>3.990269471235309</v>
      </c>
      <c r="Q264" s="13">
        <f t="shared" si="65"/>
        <v>0</v>
      </c>
    </row>
    <row r="265" spans="9:17" ht="12.75">
      <c r="I265" s="2">
        <f t="shared" si="63"/>
        <v>3135</v>
      </c>
      <c r="J265" s="13">
        <f t="shared" si="62"/>
        <v>-6.812444852784469</v>
      </c>
      <c r="K265" s="10">
        <f t="shared" si="56"/>
        <v>272.19665173396135</v>
      </c>
      <c r="L265" s="13">
        <f t="shared" si="59"/>
        <v>10.819615918502105</v>
      </c>
      <c r="M265" s="10">
        <f t="shared" si="60"/>
        <v>-2.380384081497894</v>
      </c>
      <c r="N265" s="10">
        <f t="shared" si="57"/>
        <v>249.0820177262523</v>
      </c>
      <c r="P265" s="13">
        <f t="shared" si="64"/>
        <v>4.007171065717636</v>
      </c>
      <c r="Q265" s="13">
        <f t="shared" si="65"/>
        <v>0</v>
      </c>
    </row>
    <row r="266" spans="9:17" ht="12.75">
      <c r="I266" s="2">
        <f t="shared" si="63"/>
        <v>3150</v>
      </c>
      <c r="J266" s="13">
        <f t="shared" si="62"/>
        <v>-6.79953217730942</v>
      </c>
      <c r="K266" s="10">
        <f t="shared" si="56"/>
        <v>272.090451382504</v>
      </c>
      <c r="L266" s="13">
        <f t="shared" si="59"/>
        <v>10.8235568451935</v>
      </c>
      <c r="M266" s="10">
        <f t="shared" si="60"/>
        <v>-2.363943154806501</v>
      </c>
      <c r="N266" s="10">
        <f t="shared" si="57"/>
        <v>248.9673981223179</v>
      </c>
      <c r="P266" s="13">
        <f t="shared" si="64"/>
        <v>4.024024667884079</v>
      </c>
      <c r="Q266" s="13">
        <f t="shared" si="65"/>
        <v>0</v>
      </c>
    </row>
    <row r="267" spans="9:17" ht="12.75">
      <c r="I267" s="2">
        <f t="shared" si="63"/>
        <v>3165</v>
      </c>
      <c r="J267" s="13">
        <f t="shared" si="62"/>
        <v>-6.786390918736492</v>
      </c>
      <c r="K267" s="10">
        <f t="shared" si="56"/>
        <v>271.9844523289218</v>
      </c>
      <c r="L267" s="13">
        <f t="shared" si="59"/>
        <v>10.827221432630221</v>
      </c>
      <c r="M267" s="10">
        <f t="shared" si="60"/>
        <v>-2.360278567369779</v>
      </c>
      <c r="N267" s="10">
        <f t="shared" si="57"/>
        <v>248.8535701773936</v>
      </c>
      <c r="P267" s="13">
        <f t="shared" si="64"/>
        <v>4.040830513893729</v>
      </c>
      <c r="Q267" s="13">
        <f t="shared" si="65"/>
        <v>0</v>
      </c>
    </row>
    <row r="268" spans="9:17" ht="12.75">
      <c r="I268" s="2">
        <f t="shared" si="63"/>
        <v>3180</v>
      </c>
      <c r="J268" s="13">
        <f t="shared" si="62"/>
        <v>-6.773311174229998</v>
      </c>
      <c r="K268" s="10">
        <f t="shared" si="56"/>
        <v>271.8786581366353</v>
      </c>
      <c r="L268" s="13">
        <f t="shared" si="59"/>
        <v>10.830899316063087</v>
      </c>
      <c r="M268" s="10">
        <f t="shared" si="60"/>
        <v>-2.3566006839369127</v>
      </c>
      <c r="N268" s="10">
        <f t="shared" si="57"/>
        <v>248.73991868868234</v>
      </c>
      <c r="P268" s="13">
        <f t="shared" si="64"/>
        <v>4.057588141833089</v>
      </c>
      <c r="Q268" s="13">
        <f t="shared" si="65"/>
        <v>0</v>
      </c>
    </row>
    <row r="269" spans="9:17" ht="12.75">
      <c r="I269" s="2">
        <f t="shared" si="63"/>
        <v>3195</v>
      </c>
      <c r="J269" s="13">
        <f t="shared" si="62"/>
        <v>-6.760291940024736</v>
      </c>
      <c r="K269" s="10">
        <f t="shared" si="56"/>
        <v>271.7730678466913</v>
      </c>
      <c r="L269" s="13">
        <f t="shared" si="59"/>
        <v>10.834589746940505</v>
      </c>
      <c r="M269" s="10">
        <f t="shared" si="60"/>
        <v>-2.3529102530594947</v>
      </c>
      <c r="N269" s="10">
        <f t="shared" si="57"/>
        <v>248.6264442964093</v>
      </c>
      <c r="P269" s="13">
        <f t="shared" si="64"/>
        <v>4.074297806915769</v>
      </c>
      <c r="Q269" s="13">
        <f t="shared" si="65"/>
        <v>0</v>
      </c>
    </row>
    <row r="270" spans="9:17" ht="12.75">
      <c r="I270" s="2">
        <f t="shared" si="63"/>
        <v>3210</v>
      </c>
      <c r="J270" s="13">
        <f t="shared" si="62"/>
        <v>-6.747332239914593</v>
      </c>
      <c r="K270" s="10">
        <f t="shared" si="56"/>
        <v>271.66768051578447</v>
      </c>
      <c r="L270" s="13">
        <f t="shared" si="59"/>
        <v>10.838292000907142</v>
      </c>
      <c r="M270" s="10">
        <f t="shared" si="60"/>
        <v>-2.349207999092858</v>
      </c>
      <c r="N270" s="10">
        <f t="shared" si="57"/>
        <v>248.51314760475557</v>
      </c>
      <c r="P270" s="13">
        <f t="shared" si="64"/>
        <v>4.090959760992549</v>
      </c>
      <c r="Q270" s="13">
        <f t="shared" si="65"/>
        <v>0</v>
      </c>
    </row>
    <row r="271" spans="9:17" ht="12.75">
      <c r="I271" s="2">
        <f t="shared" si="63"/>
        <v>3225</v>
      </c>
      <c r="J271" s="13">
        <f t="shared" si="62"/>
        <v>-6.734431124422022</v>
      </c>
      <c r="K271" s="10">
        <f aca="true" t="shared" si="66" ref="K271:K334">MAX(D$8,K270+J270*I$41/VLOOKUP(K270,E$44:G$251,3,TRUE))</f>
        <v>271.56249521582777</v>
      </c>
      <c r="L271" s="13">
        <f t="shared" si="59"/>
        <v>10.8420053770574</v>
      </c>
      <c r="M271" s="10">
        <f t="shared" si="60"/>
        <v>-2.3454946229425992</v>
      </c>
      <c r="N271" s="10">
        <f aca="true" t="shared" si="67" ref="N271:N334">N270+M270*I$41/VLOOKUP(N270,A$44:C$251,3,TRUE)</f>
        <v>248.40002918302332</v>
      </c>
      <c r="P271" s="13">
        <f t="shared" si="64"/>
        <v>4.107574252635379</v>
      </c>
      <c r="Q271" s="13">
        <f t="shared" si="65"/>
        <v>0</v>
      </c>
    </row>
    <row r="272" spans="9:17" ht="12.75">
      <c r="I272" s="2">
        <f t="shared" si="63"/>
        <v>3240</v>
      </c>
      <c r="J272" s="13">
        <f t="shared" si="62"/>
        <v>-6.721587669993106</v>
      </c>
      <c r="K272" s="10">
        <f t="shared" si="66"/>
        <v>271.45751103353575</v>
      </c>
      <c r="L272" s="13">
        <f t="shared" si="59"/>
        <v>10.845729197211886</v>
      </c>
      <c r="M272" s="10">
        <f t="shared" si="60"/>
        <v>-2.3417708027881137</v>
      </c>
      <c r="N272" s="10">
        <f t="shared" si="67"/>
        <v>248.2870895667649</v>
      </c>
      <c r="P272" s="13">
        <f t="shared" si="64"/>
        <v>4.1241415272187805</v>
      </c>
      <c r="Q272" s="13">
        <f t="shared" si="65"/>
        <v>0</v>
      </c>
    </row>
    <row r="273" spans="9:17" ht="12.75">
      <c r="I273" s="2">
        <f t="shared" si="63"/>
        <v>3255</v>
      </c>
      <c r="J273" s="13">
        <f t="shared" si="62"/>
        <v>-6.708800978217137</v>
      </c>
      <c r="K273" s="10">
        <f t="shared" si="66"/>
        <v>271.35272707002036</v>
      </c>
      <c r="L273" s="13">
        <f t="shared" si="59"/>
        <v>10.849462805215959</v>
      </c>
      <c r="M273" s="10">
        <f t="shared" si="60"/>
        <v>-2.3380371947840413</v>
      </c>
      <c r="N273" s="10">
        <f t="shared" si="67"/>
        <v>248.17432925887718</v>
      </c>
      <c r="P273" s="13">
        <f t="shared" si="64"/>
        <v>4.140661826998822</v>
      </c>
      <c r="Q273" s="13">
        <f t="shared" si="65"/>
        <v>0</v>
      </c>
    </row>
    <row r="274" spans="9:17" ht="12.75">
      <c r="I274" s="2">
        <f t="shared" si="63"/>
        <v>3270</v>
      </c>
      <c r="J274" s="13">
        <f t="shared" si="62"/>
        <v>-6.696070175070193</v>
      </c>
      <c r="K274" s="10">
        <f t="shared" si="66"/>
        <v>271.248142440399</v>
      </c>
      <c r="L274" s="13">
        <f t="shared" si="59"/>
        <v>10.853205566259895</v>
      </c>
      <c r="M274" s="10">
        <f t="shared" si="60"/>
        <v>-2.334294433740105</v>
      </c>
      <c r="N274" s="10">
        <f t="shared" si="67"/>
        <v>248.06174873066198</v>
      </c>
      <c r="P274" s="13">
        <f t="shared" si="64"/>
        <v>4.157135391189702</v>
      </c>
      <c r="Q274" s="13">
        <f t="shared" si="65"/>
        <v>0</v>
      </c>
    </row>
    <row r="275" spans="9:17" ht="12.75">
      <c r="I275" s="2">
        <f t="shared" si="63"/>
        <v>3285</v>
      </c>
      <c r="J275" s="13">
        <f t="shared" si="62"/>
        <v>-6.683394410181827</v>
      </c>
      <c r="K275" s="10">
        <f t="shared" si="66"/>
        <v>271.1437562734145</v>
      </c>
      <c r="L275" s="13">
        <f t="shared" si="59"/>
        <v>10.856956866219827</v>
      </c>
      <c r="M275" s="10">
        <f t="shared" si="60"/>
        <v>-2.318043133780174</v>
      </c>
      <c r="N275" s="10">
        <f t="shared" si="67"/>
        <v>247.94934842285397</v>
      </c>
      <c r="P275" s="13">
        <f t="shared" si="64"/>
        <v>4.173562456038</v>
      </c>
      <c r="Q275" s="13">
        <f t="shared" si="65"/>
        <v>0</v>
      </c>
    </row>
    <row r="276" spans="9:17" ht="12.75">
      <c r="I276" s="2">
        <f t="shared" si="63"/>
        <v>3300</v>
      </c>
      <c r="J276" s="13">
        <f t="shared" si="62"/>
        <v>-6.670491117297193</v>
      </c>
      <c r="K276" s="10">
        <f t="shared" si="66"/>
        <v>271.0395677110661</v>
      </c>
      <c r="L276" s="13">
        <f t="shared" si="59"/>
        <v>10.860434372191929</v>
      </c>
      <c r="M276" s="10">
        <f t="shared" si="60"/>
        <v>-2.314565627808072</v>
      </c>
      <c r="N276" s="10">
        <f t="shared" si="67"/>
        <v>247.83773064320155</v>
      </c>
      <c r="P276" s="13">
        <f t="shared" si="64"/>
        <v>4.189943254894736</v>
      </c>
      <c r="Q276" s="13">
        <f t="shared" si="65"/>
        <v>0</v>
      </c>
    </row>
    <row r="277" spans="9:17" ht="12.75">
      <c r="I277" s="2">
        <f t="shared" si="63"/>
        <v>3315</v>
      </c>
      <c r="J277" s="13">
        <f t="shared" si="62"/>
        <v>-6.657650325651793</v>
      </c>
      <c r="K277" s="10">
        <f t="shared" si="66"/>
        <v>270.93558030032614</v>
      </c>
      <c r="L277" s="13">
        <f t="shared" si="59"/>
        <v>10.863927654359793</v>
      </c>
      <c r="M277" s="10">
        <f t="shared" si="60"/>
        <v>-2.3110723456402074</v>
      </c>
      <c r="N277" s="10">
        <f t="shared" si="67"/>
        <v>247.72628031146658</v>
      </c>
      <c r="P277" s="13">
        <f t="shared" si="64"/>
        <v>4.206277328708</v>
      </c>
      <c r="Q277" s="13">
        <f t="shared" si="65"/>
        <v>0</v>
      </c>
    </row>
    <row r="278" spans="9:17" ht="12.75">
      <c r="I278" s="2">
        <f t="shared" si="63"/>
        <v>3330</v>
      </c>
      <c r="J278" s="13">
        <f t="shared" si="62"/>
        <v>-6.6448709716744885</v>
      </c>
      <c r="K278" s="10">
        <f t="shared" si="66"/>
        <v>270.8317930668522</v>
      </c>
      <c r="L278" s="13">
        <f t="shared" si="59"/>
        <v>10.86743590106692</v>
      </c>
      <c r="M278" s="10">
        <f t="shared" si="60"/>
        <v>-2.3075640989330815</v>
      </c>
      <c r="N278" s="10">
        <f t="shared" si="67"/>
        <v>247.61499818730013</v>
      </c>
      <c r="P278" s="13">
        <f t="shared" si="64"/>
        <v>4.222564929392431</v>
      </c>
      <c r="Q278" s="13">
        <f t="shared" si="65"/>
        <v>0</v>
      </c>
    </row>
    <row r="279" spans="9:17" ht="12.75">
      <c r="I279" s="2">
        <f t="shared" si="63"/>
        <v>3345</v>
      </c>
      <c r="J279" s="13">
        <f t="shared" si="62"/>
        <v>-6.632152021317276</v>
      </c>
      <c r="K279" s="10">
        <f t="shared" si="66"/>
        <v>270.7282050528821</v>
      </c>
      <c r="L279" s="13">
        <f t="shared" si="59"/>
        <v>10.87095832671177</v>
      </c>
      <c r="M279" s="10">
        <f t="shared" si="60"/>
        <v>-2.3040416732882303</v>
      </c>
      <c r="N279" s="10">
        <f t="shared" si="67"/>
        <v>247.5038849912706</v>
      </c>
      <c r="P279" s="13">
        <f t="shared" si="64"/>
        <v>4.238806305394494</v>
      </c>
      <c r="Q279" s="13">
        <f t="shared" si="65"/>
        <v>0</v>
      </c>
    </row>
    <row r="280" spans="9:17" ht="12.75">
      <c r="I280" s="2">
        <f t="shared" si="63"/>
        <v>3360</v>
      </c>
      <c r="J280" s="13">
        <f t="shared" si="62"/>
        <v>-6.619492469164048</v>
      </c>
      <c r="K280" s="10">
        <f t="shared" si="66"/>
        <v>270.6248153167737</v>
      </c>
      <c r="L280" s="13">
        <f t="shared" si="59"/>
        <v>10.874494170945052</v>
      </c>
      <c r="M280" s="10">
        <f t="shared" si="60"/>
        <v>-2.3005058290549485</v>
      </c>
      <c r="N280" s="10">
        <f t="shared" si="67"/>
        <v>247.39294140611838</v>
      </c>
      <c r="P280" s="13">
        <f t="shared" si="64"/>
        <v>4.255001701781004</v>
      </c>
      <c r="Q280" s="13">
        <f t="shared" si="65"/>
        <v>0</v>
      </c>
    </row>
    <row r="281" spans="9:17" ht="12.75">
      <c r="I281" s="2">
        <f t="shared" si="63"/>
        <v>3375</v>
      </c>
      <c r="J281" s="13">
        <f t="shared" si="62"/>
        <v>-6.606891337566707</v>
      </c>
      <c r="K281" s="10">
        <f t="shared" si="66"/>
        <v>270.52162293255833</v>
      </c>
      <c r="L281" s="13">
        <f t="shared" si="59"/>
        <v>10.878042697891653</v>
      </c>
      <c r="M281" s="10">
        <f t="shared" si="60"/>
        <v>-2.296957302108348</v>
      </c>
      <c r="N281" s="10">
        <f t="shared" si="67"/>
        <v>247.28216807797162</v>
      </c>
      <c r="P281" s="13">
        <f t="shared" si="64"/>
        <v>4.271151360324946</v>
      </c>
      <c r="Q281" s="13">
        <f t="shared" si="65"/>
        <v>0</v>
      </c>
    </row>
    <row r="282" spans="9:17" ht="12.75">
      <c r="I282" s="2">
        <f t="shared" si="63"/>
        <v>3390</v>
      </c>
      <c r="J282" s="13">
        <f t="shared" si="62"/>
        <v>-6.594347675807767</v>
      </c>
      <c r="K282" s="10">
        <f t="shared" si="66"/>
        <v>270.4186269895081</v>
      </c>
      <c r="L282" s="13">
        <f t="shared" si="59"/>
        <v>10.881603195396401</v>
      </c>
      <c r="M282" s="10">
        <f t="shared" si="60"/>
        <v>-2.2933968046035993</v>
      </c>
      <c r="N282" s="10">
        <f t="shared" si="67"/>
        <v>247.17156561752486</v>
      </c>
      <c r="P282" s="13">
        <f t="shared" si="64"/>
        <v>4.287255519588634</v>
      </c>
      <c r="Q282" s="13">
        <f t="shared" si="65"/>
        <v>0</v>
      </c>
    </row>
    <row r="283" spans="1:17" ht="12.75">
      <c r="A283" t="s">
        <v>43</v>
      </c>
      <c r="B283">
        <v>295</v>
      </c>
      <c r="C283" t="s">
        <v>22</v>
      </c>
      <c r="I283" s="2">
        <f t="shared" si="63"/>
        <v>3405</v>
      </c>
      <c r="J283" s="13">
        <f t="shared" si="62"/>
        <v>-6.5818605592885</v>
      </c>
      <c r="K283" s="10">
        <f t="shared" si="66"/>
        <v>270.315826591716</v>
      </c>
      <c r="L283" s="13">
        <f t="shared" si="59"/>
        <v>10.885174974292903</v>
      </c>
      <c r="M283" s="10">
        <f t="shared" si="60"/>
        <v>-2.2898250257070973</v>
      </c>
      <c r="N283" s="10">
        <f t="shared" si="67"/>
        <v>247.06113460118118</v>
      </c>
      <c r="P283" s="13">
        <f t="shared" si="64"/>
        <v>4.303314415004404</v>
      </c>
      <c r="Q283" s="13">
        <f t="shared" si="65"/>
        <v>0</v>
      </c>
    </row>
    <row r="284" spans="1:17" ht="12.75">
      <c r="A284" t="s">
        <v>162</v>
      </c>
      <c r="B284">
        <v>280</v>
      </c>
      <c r="C284" t="s">
        <v>22</v>
      </c>
      <c r="I284" s="2">
        <f t="shared" si="63"/>
        <v>3420</v>
      </c>
      <c r="J284" s="13">
        <f t="shared" si="62"/>
        <v>-6.569429088741931</v>
      </c>
      <c r="K284" s="10">
        <f t="shared" si="66"/>
        <v>270.21322085768884</v>
      </c>
      <c r="L284" s="13">
        <f t="shared" si="59"/>
        <v>10.888757367694796</v>
      </c>
      <c r="M284" s="10">
        <f t="shared" si="60"/>
        <v>-2.273742632305204</v>
      </c>
      <c r="N284" s="10">
        <f t="shared" si="67"/>
        <v>246.95087557215905</v>
      </c>
      <c r="P284" s="13">
        <f t="shared" si="64"/>
        <v>4.319328278952865</v>
      </c>
      <c r="Q284" s="13">
        <f t="shared" si="65"/>
        <v>0</v>
      </c>
    </row>
    <row r="285" spans="1:17" ht="12.75">
      <c r="A285" t="s">
        <v>186</v>
      </c>
      <c r="B285" s="18">
        <f>1-(B284/B283)^4</f>
        <v>0.18839621927579764</v>
      </c>
      <c r="I285" s="2">
        <f t="shared" si="63"/>
        <v>3435</v>
      </c>
      <c r="J285" s="13">
        <f t="shared" si="62"/>
        <v>-6.556770650643084</v>
      </c>
      <c r="K285" s="10">
        <f t="shared" si="66"/>
        <v>270.1108089199521</v>
      </c>
      <c r="L285" s="13">
        <f t="shared" si="59"/>
        <v>10.892067991481804</v>
      </c>
      <c r="M285" s="10">
        <f t="shared" si="60"/>
        <v>-2.2704320085181955</v>
      </c>
      <c r="N285" s="10">
        <f t="shared" si="67"/>
        <v>246.84139093815006</v>
      </c>
      <c r="P285" s="13">
        <f t="shared" si="64"/>
        <v>4.3352973408387205</v>
      </c>
      <c r="Q285" s="13">
        <f t="shared" si="65"/>
        <v>0</v>
      </c>
    </row>
    <row r="286" spans="9:17" ht="12.75">
      <c r="I286" s="2">
        <f t="shared" si="63"/>
        <v>3450</v>
      </c>
      <c r="J286" s="13">
        <f t="shared" si="62"/>
        <v>-6.544175222877279</v>
      </c>
      <c r="K286" s="10">
        <f t="shared" si="66"/>
        <v>270.00859431674115</v>
      </c>
      <c r="L286" s="13">
        <f t="shared" si="59"/>
        <v>10.895396366120341</v>
      </c>
      <c r="M286" s="10">
        <f t="shared" si="60"/>
        <v>-2.2671036338796586</v>
      </c>
      <c r="N286" s="10">
        <f t="shared" si="67"/>
        <v>246.73206571639315</v>
      </c>
      <c r="P286" s="13">
        <f t="shared" si="64"/>
        <v>4.351221143243062</v>
      </c>
      <c r="Q286" s="13">
        <f t="shared" si="65"/>
        <v>0</v>
      </c>
    </row>
    <row r="287" spans="2:17" ht="12.75">
      <c r="B287" s="48"/>
      <c r="I287" s="2">
        <f t="shared" si="63"/>
        <v>3465</v>
      </c>
      <c r="J287" s="13">
        <f t="shared" si="62"/>
        <v>-6.53164169798868</v>
      </c>
      <c r="K287" s="10">
        <f t="shared" si="66"/>
        <v>269.9065760657774</v>
      </c>
      <c r="L287" s="13">
        <f t="shared" si="59"/>
        <v>10.8987416317321</v>
      </c>
      <c r="M287" s="10">
        <f t="shared" si="60"/>
        <v>-2.263758368267899</v>
      </c>
      <c r="N287" s="10">
        <f t="shared" si="67"/>
        <v>246.62290076162247</v>
      </c>
      <c r="P287" s="13">
        <f t="shared" si="64"/>
        <v>4.367099933743421</v>
      </c>
      <c r="Q287" s="13">
        <f t="shared" si="65"/>
        <v>0</v>
      </c>
    </row>
    <row r="288" spans="2:17" ht="12.75">
      <c r="B288" s="2"/>
      <c r="I288" s="2">
        <f t="shared" si="63"/>
        <v>3480</v>
      </c>
      <c r="J288" s="13">
        <f t="shared" si="62"/>
        <v>-6.5191689995125515</v>
      </c>
      <c r="K288" s="10">
        <f t="shared" si="66"/>
        <v>269.8047532020464</v>
      </c>
      <c r="L288" s="13">
        <f t="shared" si="59"/>
        <v>10.90210295590074</v>
      </c>
      <c r="M288" s="10">
        <f t="shared" si="60"/>
        <v>-2.2603970440992605</v>
      </c>
      <c r="N288" s="10">
        <f t="shared" si="67"/>
        <v>246.51389688716756</v>
      </c>
      <c r="P288" s="13">
        <f t="shared" si="64"/>
        <v>4.382933956388188</v>
      </c>
      <c r="Q288" s="13">
        <f t="shared" si="65"/>
        <v>0</v>
      </c>
    </row>
    <row r="289" spans="9:17" ht="12.75">
      <c r="I289" s="2">
        <f t="shared" si="63"/>
        <v>3495</v>
      </c>
      <c r="J289" s="13">
        <f t="shared" si="62"/>
        <v>-6.506756081038868</v>
      </c>
      <c r="K289" s="10">
        <f t="shared" si="66"/>
        <v>269.703124777315</v>
      </c>
      <c r="L289" s="13">
        <f t="shared" si="59"/>
        <v>10.905479532826936</v>
      </c>
      <c r="M289" s="10">
        <f t="shared" si="60"/>
        <v>-2.2570204671730636</v>
      </c>
      <c r="N289" s="10">
        <f t="shared" si="67"/>
        <v>246.40505486627563</v>
      </c>
      <c r="P289" s="13">
        <f t="shared" si="64"/>
        <v>4.398723451788068</v>
      </c>
      <c r="Q289" s="13">
        <f t="shared" si="65"/>
        <v>0</v>
      </c>
    </row>
    <row r="290" spans="9:17" ht="12.75">
      <c r="I290" s="2">
        <f t="shared" si="63"/>
        <v>3510</v>
      </c>
      <c r="J290" s="13">
        <f t="shared" si="62"/>
        <v>-6.494401925304132</v>
      </c>
      <c r="K290" s="10">
        <f t="shared" si="66"/>
        <v>269.6016898596626</v>
      </c>
      <c r="L290" s="13">
        <f t="shared" si="59"/>
        <v>10.908870582509017</v>
      </c>
      <c r="M290" s="10">
        <f t="shared" si="60"/>
        <v>-2.2536294174909823</v>
      </c>
      <c r="N290" s="10">
        <f t="shared" si="67"/>
        <v>246.29637543339334</v>
      </c>
      <c r="P290" s="13">
        <f t="shared" si="64"/>
        <v>4.4144686572048855</v>
      </c>
      <c r="Q290" s="13">
        <f t="shared" si="65"/>
        <v>0</v>
      </c>
    </row>
    <row r="291" spans="9:17" ht="12.75">
      <c r="I291" s="2">
        <f t="shared" si="63"/>
        <v>3525</v>
      </c>
      <c r="J291" s="13">
        <f t="shared" si="62"/>
        <v>-6.482105543311336</v>
      </c>
      <c r="K291" s="10">
        <f t="shared" si="66"/>
        <v>269.500447533027</v>
      </c>
      <c r="L291" s="13">
        <f t="shared" si="59"/>
        <v>10.912275349948922</v>
      </c>
      <c r="M291" s="10">
        <f t="shared" si="60"/>
        <v>-2.250224650051077</v>
      </c>
      <c r="N291" s="10">
        <f t="shared" si="67"/>
        <v>246.18785928540885</v>
      </c>
      <c r="P291" s="13">
        <f t="shared" si="64"/>
        <v>4.430169806637586</v>
      </c>
      <c r="Q291" s="13">
        <f t="shared" si="65"/>
        <v>0</v>
      </c>
    </row>
    <row r="292" spans="9:17" ht="12.75">
      <c r="I292" s="2">
        <f t="shared" si="63"/>
        <v>3540</v>
      </c>
      <c r="J292" s="13">
        <f t="shared" si="62"/>
        <v>-6.469865973476652</v>
      </c>
      <c r="K292" s="10">
        <f t="shared" si="66"/>
        <v>269.39939689676356</v>
      </c>
      <c r="L292" s="13">
        <f t="shared" si="59"/>
        <v>10.915693104382319</v>
      </c>
      <c r="M292" s="10">
        <f t="shared" si="60"/>
        <v>-2.2468068956176808</v>
      </c>
      <c r="N292" s="10">
        <f t="shared" si="67"/>
        <v>246.07950708285588</v>
      </c>
      <c r="P292" s="13">
        <f t="shared" si="64"/>
        <v>4.445827130905667</v>
      </c>
      <c r="Q292" s="13">
        <f t="shared" si="65"/>
        <v>0</v>
      </c>
    </row>
    <row r="293" spans="9:17" ht="12.75">
      <c r="I293" s="2">
        <f t="shared" si="63"/>
        <v>3555</v>
      </c>
      <c r="J293" s="13">
        <f t="shared" si="62"/>
        <v>-6.4576822808023495</v>
      </c>
      <c r="K293" s="10">
        <f t="shared" si="66"/>
        <v>269.298537065218</v>
      </c>
      <c r="L293" s="13">
        <f t="shared" si="59"/>
        <v>10.919123138532399</v>
      </c>
      <c r="M293" s="10">
        <f t="shared" si="60"/>
        <v>-2.2308768614676016</v>
      </c>
      <c r="N293" s="10">
        <f t="shared" si="67"/>
        <v>245.9713194510806</v>
      </c>
      <c r="P293" s="13">
        <f t="shared" si="64"/>
        <v>4.461440857730049</v>
      </c>
      <c r="Q293" s="13">
        <f t="shared" si="65"/>
        <v>0</v>
      </c>
    </row>
    <row r="294" spans="9:17" ht="12.75">
      <c r="I294" s="2">
        <f t="shared" si="63"/>
        <v>3570</v>
      </c>
      <c r="J294" s="13">
        <f t="shared" si="62"/>
        <v>-6.445271817248009</v>
      </c>
      <c r="K294" s="10">
        <f t="shared" si="66"/>
        <v>269.1978671673118</v>
      </c>
      <c r="L294" s="13">
        <f t="shared" si="59"/>
        <v>10.922283029059521</v>
      </c>
      <c r="M294" s="10">
        <f t="shared" si="60"/>
        <v>-2.227716970940479</v>
      </c>
      <c r="N294" s="10">
        <f t="shared" si="67"/>
        <v>245.86389887795738</v>
      </c>
      <c r="P294" s="13">
        <f t="shared" si="64"/>
        <v>4.477011211811512</v>
      </c>
      <c r="Q294" s="13">
        <f t="shared" si="65"/>
        <v>0</v>
      </c>
    </row>
    <row r="295" spans="9:17" ht="12.75">
      <c r="I295" s="2">
        <f t="shared" si="63"/>
        <v>3585</v>
      </c>
      <c r="J295" s="13">
        <f t="shared" si="62"/>
        <v>-6.432924521839332</v>
      </c>
      <c r="K295" s="10">
        <f t="shared" si="66"/>
        <v>269.09739073821453</v>
      </c>
      <c r="L295" s="13">
        <f t="shared" si="59"/>
        <v>10.925462258346608</v>
      </c>
      <c r="M295" s="10">
        <f t="shared" si="60"/>
        <v>-2.2245377416533927</v>
      </c>
      <c r="N295" s="10">
        <f t="shared" si="67"/>
        <v>245.7566304590195</v>
      </c>
      <c r="P295" s="13">
        <f t="shared" si="64"/>
        <v>4.492537736507276</v>
      </c>
      <c r="Q295" s="13">
        <f t="shared" si="65"/>
        <v>0</v>
      </c>
    </row>
    <row r="296" spans="9:17" ht="12.75">
      <c r="I296" s="2">
        <f t="shared" si="63"/>
        <v>3600</v>
      </c>
      <c r="J296" s="13">
        <f t="shared" si="62"/>
        <v>-6.420639255198825</v>
      </c>
      <c r="K296" s="10">
        <f t="shared" si="66"/>
        <v>268.99710679318724</v>
      </c>
      <c r="L296" s="13">
        <f t="shared" si="59"/>
        <v>10.928659929573683</v>
      </c>
      <c r="M296" s="10">
        <f t="shared" si="60"/>
        <v>-2.221340070426317</v>
      </c>
      <c r="N296" s="10">
        <f t="shared" si="67"/>
        <v>245.64951512546165</v>
      </c>
      <c r="P296" s="13">
        <f t="shared" si="64"/>
        <v>4.508020674374858</v>
      </c>
      <c r="Q296" s="13">
        <f t="shared" si="65"/>
        <v>0</v>
      </c>
    </row>
    <row r="297" spans="9:17" ht="12.75">
      <c r="I297" s="2">
        <f t="shared" si="63"/>
        <v>3615</v>
      </c>
      <c r="J297" s="13">
        <f t="shared" si="62"/>
        <v>-6.408414910034601</v>
      </c>
      <c r="K297" s="10">
        <f t="shared" si="66"/>
        <v>268.897014365253</v>
      </c>
      <c r="L297" s="13">
        <f t="shared" si="59"/>
        <v>10.931875174448415</v>
      </c>
      <c r="M297" s="10">
        <f t="shared" si="60"/>
        <v>-2.2181248255515857</v>
      </c>
      <c r="N297" s="10">
        <f t="shared" si="67"/>
        <v>245.54255376529505</v>
      </c>
      <c r="P297" s="13">
        <f t="shared" si="64"/>
        <v>4.5234602644138135</v>
      </c>
      <c r="Q297" s="13">
        <f t="shared" si="65"/>
        <v>0</v>
      </c>
    </row>
    <row r="298" spans="9:17" ht="12.75">
      <c r="I298" s="2">
        <f t="shared" si="63"/>
        <v>3630</v>
      </c>
      <c r="J298" s="13">
        <f t="shared" si="62"/>
        <v>-6.396250410169769</v>
      </c>
      <c r="K298" s="10">
        <f t="shared" si="66"/>
        <v>268.79711250469677</v>
      </c>
      <c r="L298" s="13">
        <f t="shared" si="59"/>
        <v>10.935107152328985</v>
      </c>
      <c r="M298" s="10">
        <f t="shared" si="60"/>
        <v>-2.214892847671015</v>
      </c>
      <c r="N298" s="10">
        <f t="shared" si="67"/>
        <v>245.4357472247212</v>
      </c>
      <c r="P298" s="13">
        <f t="shared" si="64"/>
        <v>4.538856742159217</v>
      </c>
      <c r="Q298" s="13">
        <f t="shared" si="65"/>
        <v>0</v>
      </c>
    </row>
    <row r="299" spans="9:17" ht="12.75">
      <c r="I299" s="2">
        <f t="shared" si="63"/>
        <v>3645</v>
      </c>
      <c r="J299" s="13">
        <f t="shared" si="62"/>
        <v>-6.384144709601482</v>
      </c>
      <c r="K299" s="10">
        <f t="shared" si="66"/>
        <v>268.69740027857995</v>
      </c>
      <c r="L299" s="13">
        <f t="shared" si="59"/>
        <v>10.93835504937378</v>
      </c>
      <c r="M299" s="10">
        <f t="shared" si="60"/>
        <v>-2.211644950626221</v>
      </c>
      <c r="N299" s="10">
        <f t="shared" si="67"/>
        <v>245.32909630946324</v>
      </c>
      <c r="P299" s="13">
        <f t="shared" si="64"/>
        <v>4.554210339772298</v>
      </c>
      <c r="Q299" s="13">
        <f t="shared" si="65"/>
        <v>0</v>
      </c>
    </row>
    <row r="300" spans="9:17" ht="12.75">
      <c r="I300" s="2">
        <f t="shared" si="63"/>
        <v>3660</v>
      </c>
      <c r="J300" s="13">
        <f t="shared" si="62"/>
        <v>-6.372096791588941</v>
      </c>
      <c r="K300" s="10">
        <f t="shared" si="66"/>
        <v>268.59787677027043</v>
      </c>
      <c r="L300" s="13">
        <f aca="true" t="shared" si="68" ref="L300:L363">(K300-N300)/D$12</f>
        <v>10.941618077717207</v>
      </c>
      <c r="M300" s="10">
        <f t="shared" si="60"/>
        <v>-2.2083819222827934</v>
      </c>
      <c r="N300" s="10">
        <f t="shared" si="67"/>
        <v>245.2226017860564</v>
      </c>
      <c r="P300" s="13">
        <f t="shared" si="64"/>
        <v>4.569521286128266</v>
      </c>
      <c r="Q300" s="13">
        <f t="shared" si="65"/>
        <v>0</v>
      </c>
    </row>
    <row r="301" spans="9:17" ht="12.75">
      <c r="I301" s="2">
        <f t="shared" si="63"/>
        <v>3675</v>
      </c>
      <c r="J301" s="13">
        <f t="shared" si="62"/>
        <v>-6.360105667769183</v>
      </c>
      <c r="K301" s="10">
        <f t="shared" si="66"/>
        <v>268.4985410789862</v>
      </c>
      <c r="L301" s="13">
        <f t="shared" si="68"/>
        <v>10.944895474670679</v>
      </c>
      <c r="M301" s="10">
        <f t="shared" si="60"/>
        <v>-2.2051045253293218</v>
      </c>
      <c r="N301" s="10">
        <f t="shared" si="67"/>
        <v>245.11626438309884</v>
      </c>
      <c r="P301" s="13">
        <f t="shared" si="64"/>
        <v>4.584789806901496</v>
      </c>
      <c r="Q301" s="13">
        <f t="shared" si="65"/>
        <v>0</v>
      </c>
    </row>
    <row r="302" spans="9:17" ht="12.75">
      <c r="I302" s="2">
        <f t="shared" si="63"/>
        <v>3690</v>
      </c>
      <c r="J302" s="13">
        <f t="shared" si="62"/>
        <v>-6.348170377300023</v>
      </c>
      <c r="K302" s="10">
        <f t="shared" si="66"/>
        <v>268.399392319353</v>
      </c>
      <c r="L302" s="13">
        <f t="shared" si="68"/>
        <v>10.948186501948076</v>
      </c>
      <c r="M302" s="10">
        <f aca="true" t="shared" si="69" ref="M302:M365">L302-VLOOKUP(N302,A$44:C$251,2,TRUE)</f>
        <v>-2.2018134980519246</v>
      </c>
      <c r="N302" s="10">
        <f t="shared" si="67"/>
        <v>245.01008479246394</v>
      </c>
      <c r="P302" s="13">
        <f t="shared" si="64"/>
        <v>4.600016124648053</v>
      </c>
      <c r="Q302" s="13">
        <f t="shared" si="65"/>
        <v>0</v>
      </c>
    </row>
    <row r="303" spans="9:17" ht="12.75">
      <c r="I303" s="2">
        <f t="shared" si="63"/>
        <v>3705</v>
      </c>
      <c r="J303" s="13">
        <f t="shared" si="62"/>
        <v>-6.3362899860291195</v>
      </c>
      <c r="K303" s="10">
        <f t="shared" si="66"/>
        <v>268.30042962097536</v>
      </c>
      <c r="L303" s="13">
        <f t="shared" si="68"/>
        <v>10.9514904449149</v>
      </c>
      <c r="M303" s="10">
        <f t="shared" si="69"/>
        <v>-2.1860095550851</v>
      </c>
      <c r="N303" s="10">
        <f t="shared" si="67"/>
        <v>244.90406367047535</v>
      </c>
      <c r="P303" s="13">
        <f t="shared" si="64"/>
        <v>4.61520045888578</v>
      </c>
      <c r="Q303" s="13">
        <f t="shared" si="65"/>
        <v>0</v>
      </c>
    </row>
    <row r="304" spans="9:17" ht="12.75">
      <c r="I304" s="2">
        <f t="shared" si="63"/>
        <v>3720</v>
      </c>
      <c r="J304" s="13">
        <f t="shared" si="62"/>
        <v>-6.3241818468616255</v>
      </c>
      <c r="K304" s="10">
        <f t="shared" si="66"/>
        <v>268.2016521280204</v>
      </c>
      <c r="L304" s="13">
        <f t="shared" si="68"/>
        <v>10.954524873033499</v>
      </c>
      <c r="M304" s="10">
        <f t="shared" si="69"/>
        <v>-2.1829751269665003</v>
      </c>
      <c r="N304" s="10">
        <f t="shared" si="67"/>
        <v>244.79880353563064</v>
      </c>
      <c r="P304" s="13">
        <f t="shared" si="64"/>
        <v>4.630343026171873</v>
      </c>
      <c r="Q304" s="13">
        <f t="shared" si="65"/>
        <v>0</v>
      </c>
    </row>
    <row r="305" spans="9:17" ht="12.75">
      <c r="I305" s="2">
        <f t="shared" si="63"/>
        <v>3735</v>
      </c>
      <c r="J305" s="13">
        <f t="shared" si="62"/>
        <v>-6.312135893882297</v>
      </c>
      <c r="K305" s="10">
        <f t="shared" si="66"/>
        <v>268.10306339088845</v>
      </c>
      <c r="L305" s="13">
        <f t="shared" si="68"/>
        <v>10.957579261644131</v>
      </c>
      <c r="M305" s="10">
        <f t="shared" si="69"/>
        <v>-2.179920738355868</v>
      </c>
      <c r="N305" s="10">
        <f t="shared" si="67"/>
        <v>244.69368951373963</v>
      </c>
      <c r="P305" s="13">
        <f t="shared" si="64"/>
        <v>4.6454433677618345</v>
      </c>
      <c r="Q305" s="13">
        <f t="shared" si="65"/>
        <v>0</v>
      </c>
    </row>
    <row r="306" spans="9:17" ht="12.75">
      <c r="I306" s="2">
        <f t="shared" si="63"/>
        <v>3750</v>
      </c>
      <c r="J306" s="13">
        <f t="shared" si="62"/>
        <v>-6.300150989146572</v>
      </c>
      <c r="K306" s="10">
        <f t="shared" si="66"/>
        <v>268.0046624401486</v>
      </c>
      <c r="L306" s="13">
        <f t="shared" si="68"/>
        <v>10.960652707078943</v>
      </c>
      <c r="M306" s="10">
        <f t="shared" si="69"/>
        <v>-2.1768472929210567</v>
      </c>
      <c r="N306" s="10">
        <f t="shared" si="67"/>
        <v>244.5887225659345</v>
      </c>
      <c r="P306" s="13">
        <f t="shared" si="64"/>
        <v>4.6605017179323704</v>
      </c>
      <c r="Q306" s="13">
        <f t="shared" si="65"/>
        <v>0</v>
      </c>
    </row>
    <row r="307" spans="9:17" ht="12.75">
      <c r="I307" s="2">
        <f t="shared" si="63"/>
        <v>3765</v>
      </c>
      <c r="J307" s="13">
        <f t="shared" si="62"/>
        <v>-6.288226026873128</v>
      </c>
      <c r="K307" s="10">
        <f t="shared" si="66"/>
        <v>267.9064483241094</v>
      </c>
      <c r="L307" s="13">
        <f t="shared" si="68"/>
        <v>10.963744334341586</v>
      </c>
      <c r="M307" s="10">
        <f t="shared" si="69"/>
        <v>-2.1737556656584136</v>
      </c>
      <c r="N307" s="10">
        <f t="shared" si="67"/>
        <v>244.48390360983421</v>
      </c>
      <c r="P307" s="13">
        <f t="shared" si="64"/>
        <v>4.675518307468458</v>
      </c>
      <c r="Q307" s="13">
        <f t="shared" si="65"/>
        <v>0</v>
      </c>
    </row>
    <row r="308" spans="9:17" ht="12.75">
      <c r="I308" s="2">
        <f t="shared" si="63"/>
        <v>3780</v>
      </c>
      <c r="J308" s="13">
        <f t="shared" si="62"/>
        <v>-6.276359932470571</v>
      </c>
      <c r="K308" s="10">
        <f t="shared" si="66"/>
        <v>267.8084201083178</v>
      </c>
      <c r="L308" s="13">
        <f t="shared" si="68"/>
        <v>10.966853296226335</v>
      </c>
      <c r="M308" s="10">
        <f t="shared" si="69"/>
        <v>-2.1706467037736648</v>
      </c>
      <c r="N308" s="10">
        <f t="shared" si="67"/>
        <v>244.3792335209252</v>
      </c>
      <c r="P308" s="13">
        <f t="shared" si="64"/>
        <v>4.690493363755763</v>
      </c>
      <c r="Q308" s="13">
        <f t="shared" si="65"/>
        <v>0</v>
      </c>
    </row>
    <row r="309" spans="9:17" ht="12.75">
      <c r="I309" s="2">
        <f t="shared" si="63"/>
        <v>3795</v>
      </c>
      <c r="J309" s="13">
        <f t="shared" si="62"/>
        <v>-6.264551661593775</v>
      </c>
      <c r="K309" s="10">
        <f t="shared" si="66"/>
        <v>267.7105768750726</v>
      </c>
      <c r="L309" s="13">
        <f t="shared" si="68"/>
        <v>10.969978772464035</v>
      </c>
      <c r="M309" s="10">
        <f t="shared" si="69"/>
        <v>-2.167521227535964</v>
      </c>
      <c r="N309" s="10">
        <f t="shared" si="67"/>
        <v>244.27471313389944</v>
      </c>
      <c r="P309" s="13">
        <f t="shared" si="64"/>
        <v>4.70542711087026</v>
      </c>
      <c r="Q309" s="13">
        <f t="shared" si="65"/>
        <v>0</v>
      </c>
    </row>
    <row r="310" spans="9:17" ht="12.75">
      <c r="I310" s="2">
        <f t="shared" si="63"/>
        <v>3810</v>
      </c>
      <c r="J310" s="13">
        <f t="shared" si="62"/>
        <v>-6.252800199229237</v>
      </c>
      <c r="K310" s="10">
        <f t="shared" si="66"/>
        <v>267.61291772295306</v>
      </c>
      <c r="L310" s="13">
        <f t="shared" si="68"/>
        <v>10.973119968894324</v>
      </c>
      <c r="M310" s="10">
        <f t="shared" si="69"/>
        <v>-2.164380031105676</v>
      </c>
      <c r="N310" s="10">
        <f t="shared" si="67"/>
        <v>244.17034324395155</v>
      </c>
      <c r="P310" s="13">
        <f t="shared" si="64"/>
        <v>4.720319769665086</v>
      </c>
      <c r="Q310" s="13">
        <f t="shared" si="65"/>
        <v>0</v>
      </c>
    </row>
    <row r="311" spans="9:17" ht="12.75">
      <c r="I311" s="2">
        <f t="shared" si="63"/>
        <v>3825</v>
      </c>
      <c r="J311" s="13">
        <f t="shared" si="62"/>
        <v>-6.241104558808413</v>
      </c>
      <c r="K311" s="10">
        <f t="shared" si="66"/>
        <v>267.51544176636173</v>
      </c>
      <c r="L311" s="13">
        <f t="shared" si="68"/>
        <v>10.976276116663133</v>
      </c>
      <c r="M311" s="10">
        <f t="shared" si="69"/>
        <v>-2.1612238833368664</v>
      </c>
      <c r="N311" s="10">
        <f t="shared" si="67"/>
        <v>244.06612460803595</v>
      </c>
      <c r="P311" s="13">
        <f t="shared" si="64"/>
        <v>4.73517155785472</v>
      </c>
      <c r="Q311" s="13">
        <f t="shared" si="65"/>
        <v>0</v>
      </c>
    </row>
    <row r="312" spans="9:17" ht="12.75">
      <c r="I312" s="2">
        <f t="shared" si="63"/>
        <v>3840</v>
      </c>
      <c r="J312" s="13">
        <f aca="true" t="shared" si="70" ref="J312:J375">(D$7-K312)*(1/D$13+1/D$14)+D$16*(D$19*D$21*D$17+D$20*D$22*D$18)*(D$7^4-K312^4)-(K312-N312)/D$12</f>
        <v>-6.229463781348063</v>
      </c>
      <c r="K312" s="10">
        <f t="shared" si="66"/>
        <v>267.4181481350809</v>
      </c>
      <c r="L312" s="13">
        <f t="shared" si="68"/>
        <v>10.979446471444698</v>
      </c>
      <c r="M312" s="10">
        <f t="shared" si="69"/>
        <v>-2.1455535285553022</v>
      </c>
      <c r="N312" s="10">
        <f t="shared" si="67"/>
        <v>243.96205794608542</v>
      </c>
      <c r="P312" s="13">
        <f t="shared" si="64"/>
        <v>4.749982690096635</v>
      </c>
      <c r="Q312" s="13">
        <f t="shared" si="65"/>
        <v>0</v>
      </c>
    </row>
    <row r="313" spans="9:17" ht="12.75">
      <c r="I313" s="2">
        <f aca="true" t="shared" si="71" ref="I313:I376">I312+I$41</f>
        <v>3855</v>
      </c>
      <c r="J313" s="13">
        <f t="shared" si="70"/>
        <v>-6.217595195790159</v>
      </c>
      <c r="K313" s="10">
        <f t="shared" si="66"/>
        <v>267.3210359738427</v>
      </c>
      <c r="L313" s="13">
        <f t="shared" si="68"/>
        <v>10.982348573860568</v>
      </c>
      <c r="M313" s="10">
        <f t="shared" si="69"/>
        <v>-2.142651426139432</v>
      </c>
      <c r="N313" s="10">
        <f t="shared" si="67"/>
        <v>243.85874583877694</v>
      </c>
      <c r="P313" s="13">
        <f aca="true" t="shared" si="72" ref="P313:P376">(D$7-K313)*(1/D$13+1/D$14)+D$16*(D$19*D$21*D$17+D$20*D$22*D$18)*(D$7^4-K313^4)</f>
        <v>4.7647533780704086</v>
      </c>
      <c r="Q313" s="13">
        <f aca="true" t="shared" si="73" ref="Q313:Q376">IF(K313=D$8,-J313,0)</f>
        <v>0</v>
      </c>
    </row>
    <row r="314" spans="9:17" ht="12.75">
      <c r="I314" s="2">
        <f t="shared" si="71"/>
        <v>3870</v>
      </c>
      <c r="J314" s="13">
        <f t="shared" si="70"/>
        <v>-6.205788707844818</v>
      </c>
      <c r="K314" s="10">
        <f t="shared" si="66"/>
        <v>267.2241088339859</v>
      </c>
      <c r="L314" s="13">
        <f t="shared" si="68"/>
        <v>10.985271871235016</v>
      </c>
      <c r="M314" s="10">
        <f t="shared" si="69"/>
        <v>-2.1397281287649843</v>
      </c>
      <c r="N314" s="10">
        <f t="shared" si="67"/>
        <v>243.7555734727111</v>
      </c>
      <c r="P314" s="13">
        <f t="shared" si="72"/>
        <v>4.779483163390197</v>
      </c>
      <c r="Q314" s="13">
        <f t="shared" si="73"/>
        <v>0</v>
      </c>
    </row>
    <row r="315" spans="9:17" ht="12.75">
      <c r="I315" s="2">
        <f t="shared" si="71"/>
        <v>3885</v>
      </c>
      <c r="J315" s="13">
        <f t="shared" si="70"/>
        <v>-6.194043157520227</v>
      </c>
      <c r="K315" s="10">
        <f t="shared" si="66"/>
        <v>267.1273657474604</v>
      </c>
      <c r="L315" s="13">
        <f t="shared" si="68"/>
        <v>10.988215432722772</v>
      </c>
      <c r="M315" s="10">
        <f t="shared" si="69"/>
        <v>-2.1367845672772283</v>
      </c>
      <c r="N315" s="10">
        <f t="shared" si="67"/>
        <v>243.65254186846173</v>
      </c>
      <c r="P315" s="13">
        <f t="shared" si="72"/>
        <v>4.794172275202545</v>
      </c>
      <c r="Q315" s="13">
        <f t="shared" si="73"/>
        <v>0</v>
      </c>
    </row>
    <row r="316" spans="9:17" ht="12.75">
      <c r="I316" s="2">
        <f t="shared" si="71"/>
        <v>3900</v>
      </c>
      <c r="J316" s="13">
        <f t="shared" si="70"/>
        <v>-6.18235741776639</v>
      </c>
      <c r="K316" s="10">
        <f t="shared" si="66"/>
        <v>267.0308057642993</v>
      </c>
      <c r="L316" s="13">
        <f t="shared" si="68"/>
        <v>10.991178356923522</v>
      </c>
      <c r="M316" s="10">
        <f t="shared" si="69"/>
        <v>-2.1338216430764785</v>
      </c>
      <c r="N316" s="10">
        <f t="shared" si="67"/>
        <v>243.54965200178088</v>
      </c>
      <c r="P316" s="13">
        <f t="shared" si="72"/>
        <v>4.8088209391571315</v>
      </c>
      <c r="Q316" s="13">
        <f t="shared" si="73"/>
        <v>0</v>
      </c>
    </row>
    <row r="317" spans="9:17" ht="12.75">
      <c r="I317" s="2">
        <f t="shared" si="71"/>
        <v>3915</v>
      </c>
      <c r="J317" s="13">
        <f t="shared" si="70"/>
        <v>-6.170730393477504</v>
      </c>
      <c r="K317" s="10">
        <f t="shared" si="66"/>
        <v>266.9344279521056</v>
      </c>
      <c r="L317" s="13">
        <f t="shared" si="68"/>
        <v>10.994159770977793</v>
      </c>
      <c r="M317" s="10">
        <f t="shared" si="69"/>
        <v>-2.1308402290222066</v>
      </c>
      <c r="N317" s="10">
        <f t="shared" si="67"/>
        <v>243.44690480501666</v>
      </c>
      <c r="P317" s="13">
        <f t="shared" si="72"/>
        <v>4.82342937750029</v>
      </c>
      <c r="Q317" s="13">
        <f t="shared" si="73"/>
        <v>0</v>
      </c>
    </row>
    <row r="318" spans="9:17" ht="12.75">
      <c r="I318" s="2">
        <f t="shared" si="71"/>
        <v>3930</v>
      </c>
      <c r="J318" s="13">
        <f t="shared" si="70"/>
        <v>-6.159161020525138</v>
      </c>
      <c r="K318" s="10">
        <f t="shared" si="66"/>
        <v>266.8382313955539</v>
      </c>
      <c r="L318" s="13">
        <f t="shared" si="68"/>
        <v>10.997158829690715</v>
      </c>
      <c r="M318" s="10">
        <f t="shared" si="69"/>
        <v>-2.127841170309285</v>
      </c>
      <c r="N318" s="10">
        <f t="shared" si="67"/>
        <v>243.3443011684874</v>
      </c>
      <c r="P318" s="13">
        <f t="shared" si="72"/>
        <v>4.837997809165577</v>
      </c>
      <c r="Q318" s="13">
        <f t="shared" si="73"/>
        <v>0</v>
      </c>
    </row>
    <row r="319" spans="9:17" ht="12.75">
      <c r="I319" s="2">
        <f t="shared" si="71"/>
        <v>3945</v>
      </c>
      <c r="J319" s="13">
        <f t="shared" si="70"/>
        <v>-6.147648264820681</v>
      </c>
      <c r="K319" s="10">
        <f t="shared" si="66"/>
        <v>266.74221519590793</v>
      </c>
      <c r="L319" s="13">
        <f t="shared" si="68"/>
        <v>11.000174714682325</v>
      </c>
      <c r="M319" s="10">
        <f t="shared" si="69"/>
        <v>-2.124825285317675</v>
      </c>
      <c r="N319" s="10">
        <f t="shared" si="67"/>
        <v>243.24184194181387</v>
      </c>
      <c r="P319" s="13">
        <f t="shared" si="72"/>
        <v>4.852526449861644</v>
      </c>
      <c r="Q319" s="13">
        <f t="shared" si="73"/>
        <v>0</v>
      </c>
    </row>
    <row r="320" spans="9:17" ht="12.75">
      <c r="I320" s="2">
        <f t="shared" si="71"/>
        <v>3960</v>
      </c>
      <c r="J320" s="13">
        <f t="shared" si="70"/>
        <v>-6.136191121406632</v>
      </c>
      <c r="K320" s="10">
        <f t="shared" si="66"/>
        <v>266.6463784705518</v>
      </c>
      <c r="L320" s="13">
        <f t="shared" si="68"/>
        <v>11.003206633564</v>
      </c>
      <c r="M320" s="10">
        <f t="shared" si="69"/>
        <v>-2.121793366436</v>
      </c>
      <c r="N320" s="10">
        <f t="shared" si="67"/>
        <v>243.1395279352105</v>
      </c>
      <c r="P320" s="13">
        <f t="shared" si="72"/>
        <v>4.867015512157368</v>
      </c>
      <c r="Q320" s="13">
        <f t="shared" si="73"/>
        <v>0</v>
      </c>
    </row>
    <row r="321" spans="9:17" ht="12.75">
      <c r="I321" s="2">
        <f t="shared" si="71"/>
        <v>3975</v>
      </c>
      <c r="J321" s="13">
        <f t="shared" si="70"/>
        <v>-6.124788613575764</v>
      </c>
      <c r="K321" s="10">
        <f t="shared" si="66"/>
        <v>266.55072035253613</v>
      </c>
      <c r="L321" s="13">
        <f t="shared" si="68"/>
        <v>11.006253819140138</v>
      </c>
      <c r="M321" s="10">
        <f t="shared" si="69"/>
        <v>-2.118746180859862</v>
      </c>
      <c r="N321" s="10">
        <f t="shared" si="67"/>
        <v>243.03735992073675</v>
      </c>
      <c r="P321" s="13">
        <f t="shared" si="72"/>
        <v>4.881465205564374</v>
      </c>
      <c r="Q321" s="13">
        <f t="shared" si="73"/>
        <v>0</v>
      </c>
    </row>
    <row r="322" spans="9:17" ht="12.75">
      <c r="I322" s="2">
        <f t="shared" si="71"/>
        <v>3990</v>
      </c>
      <c r="J322" s="13">
        <f t="shared" si="70"/>
        <v>-6.113439792016981</v>
      </c>
      <c r="K322" s="10">
        <f t="shared" si="66"/>
        <v>266.4552399901376</v>
      </c>
      <c r="L322" s="13">
        <f t="shared" si="68"/>
        <v>11.00931552863405</v>
      </c>
      <c r="M322" s="10">
        <f t="shared" si="69"/>
        <v>-2.1031844713659513</v>
      </c>
      <c r="N322" s="10">
        <f t="shared" si="67"/>
        <v>242.93533863351033</v>
      </c>
      <c r="P322" s="13">
        <f t="shared" si="72"/>
        <v>4.895875736617068</v>
      </c>
      <c r="Q322" s="13">
        <f t="shared" si="73"/>
        <v>0</v>
      </c>
    </row>
    <row r="323" spans="9:17" ht="12.75">
      <c r="I323" s="2">
        <f t="shared" si="71"/>
        <v>4005</v>
      </c>
      <c r="J323" s="13">
        <f t="shared" si="70"/>
        <v>-6.101861995160724</v>
      </c>
      <c r="K323" s="10">
        <f t="shared" si="66"/>
        <v>266.3599365464319</v>
      </c>
      <c r="L323" s="13">
        <f t="shared" si="68"/>
        <v>11.012109304110894</v>
      </c>
      <c r="M323" s="10">
        <f t="shared" si="69"/>
        <v>-2.100390695889107</v>
      </c>
      <c r="N323" s="10">
        <f t="shared" si="67"/>
        <v>242.83406666946775</v>
      </c>
      <c r="P323" s="13">
        <f t="shared" si="72"/>
        <v>4.9102473089501695</v>
      </c>
      <c r="Q323" s="13">
        <f t="shared" si="73"/>
        <v>0</v>
      </c>
    </row>
    <row r="324" spans="9:17" ht="12.75">
      <c r="I324" s="2">
        <f t="shared" si="71"/>
        <v>4020</v>
      </c>
      <c r="J324" s="13">
        <f t="shared" si="70"/>
        <v>-6.090345132334287</v>
      </c>
      <c r="K324" s="10">
        <f t="shared" si="66"/>
        <v>266.26481359095357</v>
      </c>
      <c r="L324" s="13">
        <f t="shared" si="68"/>
        <v>11.014924594236785</v>
      </c>
      <c r="M324" s="10">
        <f t="shared" si="69"/>
        <v>-2.097575405763216</v>
      </c>
      <c r="N324" s="10">
        <f t="shared" si="67"/>
        <v>242.73292923053862</v>
      </c>
      <c r="P324" s="13">
        <f t="shared" si="72"/>
        <v>4.924579461902498</v>
      </c>
      <c r="Q324" s="13">
        <f t="shared" si="73"/>
        <v>0</v>
      </c>
    </row>
    <row r="325" spans="9:17" ht="12.75">
      <c r="I325" s="2">
        <f t="shared" si="71"/>
        <v>4035</v>
      </c>
      <c r="J325" s="13">
        <f t="shared" si="70"/>
        <v>-6.078888052964469</v>
      </c>
      <c r="K325" s="10">
        <f t="shared" si="66"/>
        <v>266.16987017379165</v>
      </c>
      <c r="L325" s="13">
        <f t="shared" si="68"/>
        <v>11.017760469451618</v>
      </c>
      <c r="M325" s="10">
        <f t="shared" si="69"/>
        <v>-2.0947395305483827</v>
      </c>
      <c r="N325" s="10">
        <f t="shared" si="67"/>
        <v>242.63192735269047</v>
      </c>
      <c r="P325" s="13">
        <f t="shared" si="72"/>
        <v>4.938872416487149</v>
      </c>
      <c r="Q325" s="13">
        <f t="shared" si="73"/>
        <v>0</v>
      </c>
    </row>
    <row r="326" spans="9:17" ht="12.75">
      <c r="I326" s="2">
        <f t="shared" si="71"/>
        <v>4050</v>
      </c>
      <c r="J326" s="13">
        <f t="shared" si="70"/>
        <v>-6.067489639239921</v>
      </c>
      <c r="K326" s="10">
        <f t="shared" si="66"/>
        <v>266.0751053629718</v>
      </c>
      <c r="L326" s="13">
        <f t="shared" si="68"/>
        <v>11.020616029542568</v>
      </c>
      <c r="M326" s="10">
        <f t="shared" si="69"/>
        <v>-2.091883970457433</v>
      </c>
      <c r="N326" s="10">
        <f t="shared" si="67"/>
        <v>242.53106202713084</v>
      </c>
      <c r="P326" s="13">
        <f t="shared" si="72"/>
        <v>4.953126390302647</v>
      </c>
      <c r="Q326" s="13">
        <f t="shared" si="73"/>
        <v>0</v>
      </c>
    </row>
    <row r="327" spans="9:17" ht="12.75">
      <c r="I327" s="2">
        <f t="shared" si="71"/>
        <v>4065</v>
      </c>
      <c r="J327" s="13">
        <f t="shared" si="70"/>
        <v>-6.0561488051187995</v>
      </c>
      <c r="K327" s="10">
        <f t="shared" si="66"/>
        <v>265.98051824394537</v>
      </c>
      <c r="L327" s="13">
        <f t="shared" si="68"/>
        <v>11.023490402743537</v>
      </c>
      <c r="M327" s="10">
        <f t="shared" si="69"/>
        <v>-2.0890095972564637</v>
      </c>
      <c r="N327" s="10">
        <f t="shared" si="67"/>
        <v>242.43033420172054</v>
      </c>
      <c r="P327" s="13">
        <f t="shared" si="72"/>
        <v>4.9673415976247375</v>
      </c>
      <c r="Q327" s="13">
        <f t="shared" si="73"/>
        <v>0</v>
      </c>
    </row>
    <row r="328" spans="9:17" ht="12.75">
      <c r="I328" s="2">
        <f t="shared" si="71"/>
        <v>4080</v>
      </c>
      <c r="J328" s="13">
        <f t="shared" si="70"/>
        <v>-6.044864495366762</v>
      </c>
      <c r="K328" s="10">
        <f t="shared" si="66"/>
        <v>265.88610791909423</v>
      </c>
      <c r="L328" s="13">
        <f t="shared" si="68"/>
        <v>11.026382744862145</v>
      </c>
      <c r="M328" s="10">
        <f t="shared" si="69"/>
        <v>-2.0861172551378555</v>
      </c>
      <c r="N328" s="10">
        <f t="shared" si="67"/>
        <v>242.32974478234328</v>
      </c>
      <c r="P328" s="13">
        <f t="shared" si="72"/>
        <v>4.981518249495383</v>
      </c>
      <c r="Q328" s="13">
        <f t="shared" si="73"/>
        <v>0</v>
      </c>
    </row>
    <row r="329" spans="9:17" ht="12.75">
      <c r="I329" s="2">
        <f t="shared" si="71"/>
        <v>4095</v>
      </c>
      <c r="J329" s="13">
        <f t="shared" si="70"/>
        <v>-6.0336356846245165</v>
      </c>
      <c r="K329" s="10">
        <f t="shared" si="66"/>
        <v>265.7918735072505</v>
      </c>
      <c r="L329" s="13">
        <f t="shared" si="68"/>
        <v>11.029292238433491</v>
      </c>
      <c r="M329" s="10">
        <f t="shared" si="69"/>
        <v>-2.083207761566509</v>
      </c>
      <c r="N329" s="10">
        <f t="shared" si="67"/>
        <v>242.2292946342335</v>
      </c>
      <c r="P329" s="13">
        <f t="shared" si="72"/>
        <v>4.995656553808975</v>
      </c>
      <c r="Q329" s="13">
        <f t="shared" si="73"/>
        <v>0</v>
      </c>
    </row>
    <row r="330" spans="9:17" ht="12.75">
      <c r="I330" s="2">
        <f t="shared" si="71"/>
        <v>4110</v>
      </c>
      <c r="J330" s="13">
        <f t="shared" si="70"/>
        <v>-6.022461376503681</v>
      </c>
      <c r="K330" s="10">
        <f t="shared" si="66"/>
        <v>265.6978141432307</v>
      </c>
      <c r="L330" s="13">
        <f t="shared" si="68"/>
        <v>11.032218091899654</v>
      </c>
      <c r="M330" s="10">
        <f t="shared" si="69"/>
        <v>-2.0802819081003463</v>
      </c>
      <c r="N330" s="10">
        <f t="shared" si="67"/>
        <v>242.12898458326325</v>
      </c>
      <c r="P330" s="13">
        <f t="shared" si="72"/>
        <v>5.009756715395973</v>
      </c>
      <c r="Q330" s="13">
        <f t="shared" si="73"/>
        <v>0</v>
      </c>
    </row>
    <row r="331" spans="9:17" ht="12.75">
      <c r="I331" s="2">
        <f t="shared" si="71"/>
        <v>4125</v>
      </c>
      <c r="J331" s="13">
        <f t="shared" si="70"/>
        <v>-6.011340602710591</v>
      </c>
      <c r="K331" s="10">
        <f t="shared" si="66"/>
        <v>265.60392897738427</v>
      </c>
      <c r="L331" s="13">
        <f t="shared" si="68"/>
        <v>11.035159538814485</v>
      </c>
      <c r="M331" s="10">
        <f t="shared" si="69"/>
        <v>-2.077340461185516</v>
      </c>
      <c r="N331" s="10">
        <f t="shared" si="67"/>
        <v>242.0288154171897</v>
      </c>
      <c r="P331" s="13">
        <f t="shared" si="72"/>
        <v>5.023818936103893</v>
      </c>
      <c r="Q331" s="13">
        <f t="shared" si="73"/>
        <v>0</v>
      </c>
    </row>
    <row r="332" spans="9:17" ht="12.75">
      <c r="I332" s="2">
        <f t="shared" si="71"/>
        <v>4140</v>
      </c>
      <c r="J332" s="13">
        <f t="shared" si="70"/>
        <v>-6.000272422196624</v>
      </c>
      <c r="K332" s="10">
        <f t="shared" si="66"/>
        <v>265.5102171751556</v>
      </c>
      <c r="L332" s="13">
        <f t="shared" si="68"/>
        <v>11.038115837072512</v>
      </c>
      <c r="M332" s="10">
        <f t="shared" si="69"/>
        <v>-2.0618841629274876</v>
      </c>
      <c r="N332" s="10">
        <f t="shared" si="67"/>
        <v>241.92878788686434</v>
      </c>
      <c r="P332" s="13">
        <f t="shared" si="72"/>
        <v>5.037843414875888</v>
      </c>
      <c r="Q332" s="13">
        <f t="shared" si="73"/>
        <v>0</v>
      </c>
    </row>
    <row r="333" spans="9:17" ht="12.75">
      <c r="I333" s="2">
        <f t="shared" si="71"/>
        <v>4155</v>
      </c>
      <c r="J333" s="13">
        <f t="shared" si="70"/>
        <v>-5.988974181507707</v>
      </c>
      <c r="K333" s="10">
        <f t="shared" si="66"/>
        <v>265.4166779166592</v>
      </c>
      <c r="L333" s="13">
        <f t="shared" si="68"/>
        <v>11.040804529334597</v>
      </c>
      <c r="M333" s="10">
        <f t="shared" si="69"/>
        <v>-2.0591954706654025</v>
      </c>
      <c r="N333" s="10">
        <f t="shared" si="67"/>
        <v>241.82950460398982</v>
      </c>
      <c r="P333" s="13">
        <f t="shared" si="72"/>
        <v>5.05183034782689</v>
      </c>
      <c r="Q333" s="13">
        <f t="shared" si="73"/>
        <v>0</v>
      </c>
    </row>
    <row r="334" spans="9:17" ht="12.75">
      <c r="I334" s="2">
        <f t="shared" si="71"/>
        <v>4170</v>
      </c>
      <c r="J334" s="13">
        <f t="shared" si="70"/>
        <v>-5.977735792396547</v>
      </c>
      <c r="K334" s="10">
        <f t="shared" si="66"/>
        <v>265.32331478834186</v>
      </c>
      <c r="L334" s="13">
        <f t="shared" si="68"/>
        <v>11.043515064789998</v>
      </c>
      <c r="M334" s="10">
        <f t="shared" si="69"/>
        <v>-2.056484935210001</v>
      </c>
      <c r="N334" s="10">
        <f t="shared" si="67"/>
        <v>241.7303507862905</v>
      </c>
      <c r="P334" s="13">
        <f t="shared" si="72"/>
        <v>5.065779272393452</v>
      </c>
      <c r="Q334" s="13">
        <f t="shared" si="73"/>
        <v>0</v>
      </c>
    </row>
    <row r="335" spans="9:17" ht="12.75">
      <c r="I335" s="2">
        <f t="shared" si="71"/>
        <v>4185</v>
      </c>
      <c r="J335" s="13">
        <f t="shared" si="70"/>
        <v>-5.966556112398332</v>
      </c>
      <c r="K335" s="10">
        <f aca="true" t="shared" si="74" ref="K335:K398">MAX(D$8,K334+J334*I$41/VLOOKUP(K334,E$44:G$251,3,TRUE))</f>
        <v>265.2301268571673</v>
      </c>
      <c r="L335" s="13">
        <f t="shared" si="68"/>
        <v>11.046246514372248</v>
      </c>
      <c r="M335" s="10">
        <f t="shared" si="69"/>
        <v>-2.0537534856277517</v>
      </c>
      <c r="N335" s="10">
        <f aca="true" t="shared" si="75" ref="N335:N398">N334+M334*I$41/VLOOKUP(N334,A$44:C$251,3,TRUE)</f>
        <v>241.63132748555387</v>
      </c>
      <c r="P335" s="13">
        <f t="shared" si="72"/>
        <v>5.079690401973916</v>
      </c>
      <c r="Q335" s="13">
        <f t="shared" si="73"/>
        <v>0</v>
      </c>
    </row>
    <row r="336" spans="9:17" ht="12.75">
      <c r="I336" s="2">
        <f t="shared" si="71"/>
        <v>4200</v>
      </c>
      <c r="J336" s="13">
        <f t="shared" si="70"/>
        <v>-5.955434031664083</v>
      </c>
      <c r="K336" s="10">
        <f t="shared" si="74"/>
        <v>265.13711320790924</v>
      </c>
      <c r="L336" s="13">
        <f t="shared" si="68"/>
        <v>11.048997978291833</v>
      </c>
      <c r="M336" s="10">
        <f t="shared" si="69"/>
        <v>-2.0510020217081664</v>
      </c>
      <c r="N336" s="10">
        <f t="shared" si="75"/>
        <v>241.53243570883123</v>
      </c>
      <c r="P336" s="13">
        <f t="shared" si="72"/>
        <v>5.09356394662775</v>
      </c>
      <c r="Q336" s="13">
        <f t="shared" si="73"/>
        <v>0</v>
      </c>
    </row>
    <row r="337" spans="9:17" ht="12.75">
      <c r="I337" s="2">
        <f t="shared" si="71"/>
        <v>4215</v>
      </c>
      <c r="J337" s="13">
        <f t="shared" si="70"/>
        <v>-5.944368471972509</v>
      </c>
      <c r="K337" s="10">
        <f t="shared" si="74"/>
        <v>265.04427294264303</v>
      </c>
      <c r="L337" s="13">
        <f t="shared" si="68"/>
        <v>11.051768585138321</v>
      </c>
      <c r="M337" s="10">
        <f t="shared" si="69"/>
        <v>-2.0482314148616787</v>
      </c>
      <c r="N337" s="10">
        <f t="shared" si="75"/>
        <v>241.43367641984753</v>
      </c>
      <c r="P337" s="13">
        <f t="shared" si="72"/>
        <v>5.107400113165812</v>
      </c>
      <c r="Q337" s="13">
        <f t="shared" si="73"/>
        <v>0</v>
      </c>
    </row>
    <row r="338" spans="9:17" ht="12.75">
      <c r="I338" s="2">
        <f t="shared" si="71"/>
        <v>4230</v>
      </c>
      <c r="J338" s="13">
        <f t="shared" si="70"/>
        <v>-5.933358385772129</v>
      </c>
      <c r="K338" s="10">
        <f t="shared" si="74"/>
        <v>264.9516051802526</v>
      </c>
      <c r="L338" s="13">
        <f t="shared" si="68"/>
        <v>11.054557491009952</v>
      </c>
      <c r="M338" s="10">
        <f t="shared" si="69"/>
        <v>-2.045442508990048</v>
      </c>
      <c r="N338" s="10">
        <f t="shared" si="75"/>
        <v>241.33505054036772</v>
      </c>
      <c r="P338" s="13">
        <f t="shared" si="72"/>
        <v>5.121199105237823</v>
      </c>
      <c r="Q338" s="13">
        <f t="shared" si="73"/>
        <v>0</v>
      </c>
    </row>
    <row r="339" spans="9:17" ht="12.75">
      <c r="I339" s="2">
        <f t="shared" si="71"/>
        <v>4245</v>
      </c>
      <c r="J339" s="13">
        <f t="shared" si="70"/>
        <v>-5.9224027552526355</v>
      </c>
      <c r="K339" s="10">
        <f t="shared" si="74"/>
        <v>264.8591090559524</v>
      </c>
      <c r="L339" s="13">
        <f t="shared" si="68"/>
        <v>11.057363878669797</v>
      </c>
      <c r="M339" s="10">
        <f t="shared" si="69"/>
        <v>-2.0426361213302027</v>
      </c>
      <c r="N339" s="10">
        <f t="shared" si="75"/>
        <v>241.23655895152146</v>
      </c>
      <c r="P339" s="13">
        <f t="shared" si="72"/>
        <v>5.1349611234171615</v>
      </c>
      <c r="Q339" s="13">
        <f t="shared" si="73"/>
        <v>0</v>
      </c>
    </row>
    <row r="340" spans="9:17" ht="12.75">
      <c r="I340" s="2">
        <f t="shared" si="71"/>
        <v>4260</v>
      </c>
      <c r="J340" s="13">
        <f t="shared" si="70"/>
        <v>-5.911500591444691</v>
      </c>
      <c r="K340" s="10">
        <f t="shared" si="74"/>
        <v>264.7667837208236</v>
      </c>
      <c r="L340" s="13">
        <f t="shared" si="68"/>
        <v>11.060186956727735</v>
      </c>
      <c r="M340" s="10">
        <f t="shared" si="69"/>
        <v>-2.0398130432722645</v>
      </c>
      <c r="N340" s="10">
        <f t="shared" si="75"/>
        <v>241.13820249508706</v>
      </c>
      <c r="P340" s="13">
        <f t="shared" si="72"/>
        <v>5.148686365283044</v>
      </c>
      <c r="Q340" s="13">
        <f t="shared" si="73"/>
        <v>0</v>
      </c>
    </row>
    <row r="341" spans="9:17" ht="12.75">
      <c r="I341" s="2">
        <f t="shared" si="71"/>
        <v>4275</v>
      </c>
      <c r="J341" s="13">
        <f t="shared" si="70"/>
        <v>-5.900650933347241</v>
      </c>
      <c r="K341" s="10">
        <f t="shared" si="74"/>
        <v>264.6746283413646</v>
      </c>
      <c r="L341" s="13">
        <f t="shared" si="68"/>
        <v>11.063025958847444</v>
      </c>
      <c r="M341" s="10">
        <f t="shared" si="69"/>
        <v>-2.036974041152556</v>
      </c>
      <c r="N341" s="10">
        <f t="shared" si="75"/>
        <v>241.03998197473598</v>
      </c>
      <c r="P341" s="13">
        <f t="shared" si="72"/>
        <v>5.162375025500203</v>
      </c>
      <c r="Q341" s="13">
        <f t="shared" si="73"/>
        <v>0</v>
      </c>
    </row>
    <row r="342" spans="9:17" ht="12.75">
      <c r="I342" s="2">
        <f t="shared" si="71"/>
        <v>4290</v>
      </c>
      <c r="J342" s="13">
        <f t="shared" si="70"/>
        <v>-5.889852847081511</v>
      </c>
      <c r="K342" s="10">
        <f t="shared" si="74"/>
        <v>264.5826420990551</v>
      </c>
      <c r="L342" s="13">
        <f t="shared" si="68"/>
        <v>11.065880142977596</v>
      </c>
      <c r="M342" s="10">
        <f t="shared" si="69"/>
        <v>-2.0216198570224044</v>
      </c>
      <c r="N342" s="10">
        <f t="shared" si="75"/>
        <v>240.9418981572393</v>
      </c>
      <c r="P342" s="13">
        <f t="shared" si="72"/>
        <v>5.176027295896085</v>
      </c>
      <c r="Q342" s="13">
        <f t="shared" si="73"/>
        <v>0</v>
      </c>
    </row>
    <row r="343" spans="9:17" ht="12.75">
      <c r="I343" s="2">
        <f t="shared" si="71"/>
        <v>4305</v>
      </c>
      <c r="J343" s="13">
        <f t="shared" si="70"/>
        <v>-5.878823686243945</v>
      </c>
      <c r="K343" s="10">
        <f t="shared" si="74"/>
        <v>264.490824189933</v>
      </c>
      <c r="L343" s="13">
        <f t="shared" si="68"/>
        <v>11.068467051779676</v>
      </c>
      <c r="M343" s="10">
        <f t="shared" si="69"/>
        <v>-2.0190329482203246</v>
      </c>
      <c r="N343" s="10">
        <f t="shared" si="75"/>
        <v>240.84455367022187</v>
      </c>
      <c r="P343" s="13">
        <f t="shared" si="72"/>
        <v>5.189643365535731</v>
      </c>
      <c r="Q343" s="13">
        <f t="shared" si="73"/>
        <v>0</v>
      </c>
    </row>
    <row r="344" spans="9:17" ht="12.75">
      <c r="I344" s="2">
        <f t="shared" si="71"/>
        <v>4320</v>
      </c>
      <c r="J344" s="13">
        <f t="shared" si="70"/>
        <v>-5.8678533641147315</v>
      </c>
      <c r="K344" s="10">
        <f t="shared" si="74"/>
        <v>264.39917821625886</v>
      </c>
      <c r="L344" s="13">
        <f t="shared" si="68"/>
        <v>11.071076134392099</v>
      </c>
      <c r="M344" s="10">
        <f t="shared" si="69"/>
        <v>-2.0164238656079014</v>
      </c>
      <c r="N344" s="10">
        <f t="shared" si="75"/>
        <v>240.7473337473303</v>
      </c>
      <c r="P344" s="13">
        <f t="shared" si="72"/>
        <v>5.2032227702773675</v>
      </c>
      <c r="Q344" s="13">
        <f t="shared" si="73"/>
        <v>0</v>
      </c>
    </row>
    <row r="345" spans="9:17" ht="12.75">
      <c r="I345" s="2">
        <f t="shared" si="71"/>
        <v>4335</v>
      </c>
      <c r="J345" s="13">
        <f t="shared" si="70"/>
        <v>-5.856940745317487</v>
      </c>
      <c r="K345" s="10">
        <f t="shared" si="74"/>
        <v>264.30770326078607</v>
      </c>
      <c r="L345" s="13">
        <f t="shared" si="68"/>
        <v>11.073706461687516</v>
      </c>
      <c r="M345" s="10">
        <f t="shared" si="69"/>
        <v>-2.013793538312484</v>
      </c>
      <c r="N345" s="10">
        <f t="shared" si="75"/>
        <v>240.65023945627183</v>
      </c>
      <c r="P345" s="13">
        <f t="shared" si="72"/>
        <v>5.21676571637003</v>
      </c>
      <c r="Q345" s="13">
        <f t="shared" si="73"/>
        <v>0</v>
      </c>
    </row>
    <row r="346" spans="9:17" ht="12.75">
      <c r="I346" s="2">
        <f t="shared" si="71"/>
        <v>4350</v>
      </c>
      <c r="J346" s="13">
        <f t="shared" si="70"/>
        <v>-5.846084726971209</v>
      </c>
      <c r="K346" s="10">
        <f t="shared" si="74"/>
        <v>264.2163984239677</v>
      </c>
      <c r="L346" s="13">
        <f t="shared" si="68"/>
        <v>11.07635713376525</v>
      </c>
      <c r="M346" s="10">
        <f t="shared" si="69"/>
        <v>-2.011142866234751</v>
      </c>
      <c r="N346" s="10">
        <f t="shared" si="75"/>
        <v>240.55327182001466</v>
      </c>
      <c r="P346" s="13">
        <f t="shared" si="72"/>
        <v>5.2302724067940405</v>
      </c>
      <c r="Q346" s="13">
        <f t="shared" si="73"/>
        <v>0</v>
      </c>
    </row>
    <row r="347" spans="9:17" ht="12.75">
      <c r="I347" s="2">
        <f t="shared" si="71"/>
        <v>4365</v>
      </c>
      <c r="J347" s="13">
        <f t="shared" si="70"/>
        <v>-5.835284237705491</v>
      </c>
      <c r="K347" s="10">
        <f t="shared" si="74"/>
        <v>264.12526282344976</v>
      </c>
      <c r="L347" s="13">
        <f t="shared" si="68"/>
        <v>11.07902727905534</v>
      </c>
      <c r="M347" s="10">
        <f t="shared" si="69"/>
        <v>-2.00847272094466</v>
      </c>
      <c r="N347" s="10">
        <f t="shared" si="75"/>
        <v>240.45643181819517</v>
      </c>
      <c r="P347" s="13">
        <f t="shared" si="72"/>
        <v>5.243743041349849</v>
      </c>
      <c r="Q347" s="13">
        <f t="shared" si="73"/>
        <v>0</v>
      </c>
    </row>
    <row r="348" spans="9:17" ht="12.75">
      <c r="I348" s="2">
        <f t="shared" si="71"/>
        <v>4380</v>
      </c>
      <c r="J348" s="13">
        <f t="shared" si="70"/>
        <v>-5.824538236705943</v>
      </c>
      <c r="K348" s="10">
        <f t="shared" si="74"/>
        <v>264.03429559358005</v>
      </c>
      <c r="L348" s="13">
        <f t="shared" si="68"/>
        <v>11.081716053450085</v>
      </c>
      <c r="M348" s="10">
        <f t="shared" si="69"/>
        <v>-2.005783946549915</v>
      </c>
      <c r="N348" s="10">
        <f t="shared" si="75"/>
        <v>240.35972038848215</v>
      </c>
      <c r="P348" s="13">
        <f t="shared" si="72"/>
        <v>5.257177816744142</v>
      </c>
      <c r="Q348" s="13">
        <f t="shared" si="73"/>
        <v>0</v>
      </c>
    </row>
    <row r="349" spans="9:17" ht="12.75">
      <c r="I349" s="2">
        <f t="shared" si="71"/>
        <v>4395</v>
      </c>
      <c r="J349" s="13">
        <f t="shared" si="70"/>
        <v>-5.813845712788833</v>
      </c>
      <c r="K349" s="10">
        <f t="shared" si="74"/>
        <v>263.94349588493185</v>
      </c>
      <c r="L349" s="13">
        <f t="shared" si="68"/>
        <v>11.084422639462101</v>
      </c>
      <c r="M349" s="10">
        <f t="shared" si="69"/>
        <v>-2.0030773605378993</v>
      </c>
      <c r="N349" s="10">
        <f t="shared" si="75"/>
        <v>240.26313842789918</v>
      </c>
      <c r="P349" s="13">
        <f t="shared" si="72"/>
        <v>5.270576926673268</v>
      </c>
      <c r="Q349" s="13">
        <f t="shared" si="73"/>
        <v>0</v>
      </c>
    </row>
    <row r="350" spans="9:17" ht="12.75">
      <c r="I350" s="2">
        <f t="shared" si="71"/>
        <v>4410</v>
      </c>
      <c r="J350" s="13">
        <f t="shared" si="70"/>
        <v>-5.803205683503947</v>
      </c>
      <c r="K350" s="10">
        <f t="shared" si="74"/>
        <v>263.85286286384184</v>
      </c>
      <c r="L350" s="13">
        <f t="shared" si="68"/>
        <v>11.087146245408091</v>
      </c>
      <c r="M350" s="10">
        <f t="shared" si="69"/>
        <v>-2.0003537545919094</v>
      </c>
      <c r="N350" s="10">
        <f t="shared" si="75"/>
        <v>240.16668679410637</v>
      </c>
      <c r="P350" s="13">
        <f t="shared" si="72"/>
        <v>5.283940561904144</v>
      </c>
      <c r="Q350" s="13">
        <f t="shared" si="73"/>
        <v>0</v>
      </c>
    </row>
    <row r="351" spans="9:17" ht="12.75">
      <c r="I351" s="2">
        <f t="shared" si="71"/>
        <v>4425</v>
      </c>
      <c r="J351" s="13">
        <f t="shared" si="70"/>
        <v>-5.792617194264979</v>
      </c>
      <c r="K351" s="10">
        <f t="shared" si="74"/>
        <v>263.76239571196237</v>
      </c>
      <c r="L351" s="13">
        <f t="shared" si="68"/>
        <v>11.089886104617607</v>
      </c>
      <c r="M351" s="10">
        <f t="shared" si="69"/>
        <v>-1.9976138953823934</v>
      </c>
      <c r="N351" s="10">
        <f t="shared" si="75"/>
        <v>240.07036630664294</v>
      </c>
      <c r="P351" s="13">
        <f t="shared" si="72"/>
        <v>5.297268910352628</v>
      </c>
      <c r="Q351" s="13">
        <f t="shared" si="73"/>
        <v>0</v>
      </c>
    </row>
    <row r="352" spans="9:17" ht="12.75">
      <c r="I352" s="2">
        <f t="shared" si="71"/>
        <v>4440</v>
      </c>
      <c r="J352" s="13">
        <f t="shared" si="70"/>
        <v>-5.782079317506381</v>
      </c>
      <c r="K352" s="10">
        <f t="shared" si="74"/>
        <v>263.67209362582696</v>
      </c>
      <c r="L352" s="13">
        <f t="shared" si="68"/>
        <v>11.09264147466591</v>
      </c>
      <c r="M352" s="10">
        <f t="shared" si="69"/>
        <v>-1.9823585253340887</v>
      </c>
      <c r="N352" s="10">
        <f t="shared" si="75"/>
        <v>239.9741777481316</v>
      </c>
      <c r="P352" s="13">
        <f t="shared" si="72"/>
        <v>5.31056215715953</v>
      </c>
      <c r="Q352" s="13">
        <f t="shared" si="73"/>
        <v>0</v>
      </c>
    </row>
    <row r="353" spans="9:17" ht="12.75">
      <c r="I353" s="2">
        <f t="shared" si="71"/>
        <v>4455</v>
      </c>
      <c r="J353" s="13">
        <f t="shared" si="70"/>
        <v>-5.77130941303918</v>
      </c>
      <c r="K353" s="10">
        <f t="shared" si="74"/>
        <v>263.5819558164291</v>
      </c>
      <c r="L353" s="13">
        <f t="shared" si="68"/>
        <v>11.095129897803453</v>
      </c>
      <c r="M353" s="10">
        <f t="shared" si="69"/>
        <v>-1.9798701021965464</v>
      </c>
      <c r="N353" s="10">
        <f t="shared" si="75"/>
        <v>239.87872376203083</v>
      </c>
      <c r="P353" s="13">
        <f t="shared" si="72"/>
        <v>5.323820484764273</v>
      </c>
      <c r="Q353" s="13">
        <f t="shared" si="73"/>
        <v>0</v>
      </c>
    </row>
    <row r="354" spans="9:17" ht="12.75">
      <c r="I354" s="2">
        <f t="shared" si="71"/>
        <v>4470</v>
      </c>
      <c r="J354" s="13">
        <f t="shared" si="70"/>
        <v>-5.760597394990918</v>
      </c>
      <c r="K354" s="10">
        <f t="shared" si="74"/>
        <v>263.4919859008879</v>
      </c>
      <c r="L354" s="13">
        <f t="shared" si="68"/>
        <v>11.097640822721498</v>
      </c>
      <c r="M354" s="10">
        <f t="shared" si="69"/>
        <v>-1.977359177278501</v>
      </c>
      <c r="N354" s="10">
        <f t="shared" si="75"/>
        <v>239.7833895978011</v>
      </c>
      <c r="P354" s="13">
        <f t="shared" si="72"/>
        <v>5.33704342773058</v>
      </c>
      <c r="Q354" s="13">
        <f t="shared" si="73"/>
        <v>0</v>
      </c>
    </row>
    <row r="355" spans="9:17" ht="12.75">
      <c r="I355" s="2">
        <f t="shared" si="71"/>
        <v>4485</v>
      </c>
      <c r="J355" s="13">
        <f t="shared" si="70"/>
        <v>-5.749942134270061</v>
      </c>
      <c r="K355" s="10">
        <f t="shared" si="74"/>
        <v>263.40218297680224</v>
      </c>
      <c r="L355" s="13">
        <f t="shared" si="68"/>
        <v>11.10017331984948</v>
      </c>
      <c r="M355" s="10">
        <f t="shared" si="69"/>
        <v>-1.9748266801505192</v>
      </c>
      <c r="N355" s="10">
        <f t="shared" si="75"/>
        <v>239.688176338942</v>
      </c>
      <c r="P355" s="13">
        <f t="shared" si="72"/>
        <v>5.350231185579419</v>
      </c>
      <c r="Q355" s="13">
        <f t="shared" si="73"/>
        <v>0</v>
      </c>
    </row>
    <row r="356" spans="9:17" ht="12.75">
      <c r="I356" s="2">
        <f t="shared" si="71"/>
        <v>4500</v>
      </c>
      <c r="J356" s="13">
        <f t="shared" si="70"/>
        <v>-5.739342534179098</v>
      </c>
      <c r="K356" s="10">
        <f t="shared" si="74"/>
        <v>263.3125461593725</v>
      </c>
      <c r="L356" s="13">
        <f t="shared" si="68"/>
        <v>11.102726488807585</v>
      </c>
      <c r="M356" s="10">
        <f t="shared" si="69"/>
        <v>-1.9722735111924141</v>
      </c>
      <c r="N356" s="10">
        <f t="shared" si="75"/>
        <v>239.59308502419267</v>
      </c>
      <c r="P356" s="13">
        <f t="shared" si="72"/>
        <v>5.363383954628487</v>
      </c>
      <c r="Q356" s="13">
        <f t="shared" si="73"/>
        <v>0</v>
      </c>
    </row>
    <row r="357" spans="9:17" ht="12.75">
      <c r="I357" s="2">
        <f t="shared" si="71"/>
        <v>4515</v>
      </c>
      <c r="J357" s="13">
        <f t="shared" si="70"/>
        <v>-5.728797529432722</v>
      </c>
      <c r="K357" s="10">
        <f t="shared" si="74"/>
        <v>263.22307458089585</v>
      </c>
      <c r="L357" s="13">
        <f t="shared" si="68"/>
        <v>11.105299457512437</v>
      </c>
      <c r="M357" s="10">
        <f t="shared" si="69"/>
        <v>-1.969700542487562</v>
      </c>
      <c r="N357" s="10">
        <f t="shared" si="75"/>
        <v>239.49811664893747</v>
      </c>
      <c r="P357" s="13">
        <f t="shared" si="72"/>
        <v>5.3765019280797155</v>
      </c>
      <c r="Q357" s="13">
        <f t="shared" si="73"/>
        <v>0</v>
      </c>
    </row>
    <row r="358" spans="9:17" ht="12.75">
      <c r="I358" s="2">
        <f t="shared" si="71"/>
        <v>4530</v>
      </c>
      <c r="J358" s="13">
        <f t="shared" si="70"/>
        <v>-5.7183060852059295</v>
      </c>
      <c r="K358" s="10">
        <f t="shared" si="74"/>
        <v>263.13376739027615</v>
      </c>
      <c r="L358" s="13">
        <f t="shared" si="68"/>
        <v>11.107891381310024</v>
      </c>
      <c r="M358" s="10">
        <f t="shared" si="69"/>
        <v>-1.9671086186899753</v>
      </c>
      <c r="N358" s="10">
        <f t="shared" si="75"/>
        <v>239.40327216656837</v>
      </c>
      <c r="P358" s="13">
        <f t="shared" si="72"/>
        <v>5.389585296104094</v>
      </c>
      <c r="Q358" s="13">
        <f t="shared" si="73"/>
        <v>0</v>
      </c>
    </row>
    <row r="359" spans="9:17" ht="12.75">
      <c r="I359" s="2">
        <f t="shared" si="71"/>
        <v>4545</v>
      </c>
      <c r="J359" s="13">
        <f t="shared" si="70"/>
        <v>-5.707867196211477</v>
      </c>
      <c r="K359" s="10">
        <f t="shared" si="74"/>
        <v>263.04462375254946</v>
      </c>
      <c r="L359" s="13">
        <f t="shared" si="68"/>
        <v>11.110501442135327</v>
      </c>
      <c r="M359" s="10">
        <f t="shared" si="69"/>
        <v>-1.9644985578646725</v>
      </c>
      <c r="N359" s="10">
        <f t="shared" si="75"/>
        <v>239.3085524898058</v>
      </c>
      <c r="P359" s="13">
        <f t="shared" si="72"/>
        <v>5.40263424592385</v>
      </c>
      <c r="Q359" s="13">
        <f t="shared" si="73"/>
        <v>0</v>
      </c>
    </row>
    <row r="360" spans="9:17" ht="12.75">
      <c r="I360" s="2">
        <f t="shared" si="71"/>
        <v>4560</v>
      </c>
      <c r="J360" s="13">
        <f t="shared" si="70"/>
        <v>-5.697479885805276</v>
      </c>
      <c r="K360" s="10">
        <f t="shared" si="74"/>
        <v>262.9556428484234</v>
      </c>
      <c r="L360" s="13">
        <f t="shared" si="68"/>
        <v>11.113128847697384</v>
      </c>
      <c r="M360" s="10">
        <f t="shared" si="69"/>
        <v>-1.9618711523026153</v>
      </c>
      <c r="N360" s="10">
        <f t="shared" si="75"/>
        <v>239.21395849197899</v>
      </c>
      <c r="P360" s="13">
        <f t="shared" si="72"/>
        <v>5.415648961892108</v>
      </c>
      <c r="Q360" s="13">
        <f t="shared" si="73"/>
        <v>0</v>
      </c>
    </row>
    <row r="361" spans="9:17" ht="12.75">
      <c r="I361" s="2">
        <f t="shared" si="71"/>
        <v>4575</v>
      </c>
      <c r="J361" s="13">
        <f t="shared" si="70"/>
        <v>-5.687143205119285</v>
      </c>
      <c r="K361" s="10">
        <f t="shared" si="74"/>
        <v>262.8668238738307</v>
      </c>
      <c r="L361" s="13">
        <f t="shared" si="68"/>
        <v>11.115772830689416</v>
      </c>
      <c r="M361" s="10">
        <f t="shared" si="69"/>
        <v>-1.9592271693105836</v>
      </c>
      <c r="N361" s="10">
        <f t="shared" si="75"/>
        <v>239.11949100826695</v>
      </c>
      <c r="P361" s="13">
        <f t="shared" si="72"/>
        <v>5.428629625570131</v>
      </c>
      <c r="Q361" s="13">
        <f t="shared" si="73"/>
        <v>0</v>
      </c>
    </row>
    <row r="362" spans="9:17" ht="12.75">
      <c r="I362" s="2">
        <f t="shared" si="71"/>
        <v>4590</v>
      </c>
      <c r="J362" s="13">
        <f t="shared" si="70"/>
        <v>-5.676856232220789</v>
      </c>
      <c r="K362" s="10">
        <f t="shared" si="74"/>
        <v>262.77816603949606</v>
      </c>
      <c r="L362" s="13">
        <f t="shared" si="68"/>
        <v>11.118432648022956</v>
      </c>
      <c r="M362" s="10">
        <f t="shared" si="69"/>
        <v>-1.9565673519770428</v>
      </c>
      <c r="N362" s="10">
        <f t="shared" si="75"/>
        <v>239.02515083690156</v>
      </c>
      <c r="P362" s="13">
        <f t="shared" si="72"/>
        <v>5.441576415802167</v>
      </c>
      <c r="Q362" s="13">
        <f t="shared" si="73"/>
        <v>0</v>
      </c>
    </row>
    <row r="363" spans="9:17" ht="12.75">
      <c r="I363" s="2">
        <f t="shared" si="71"/>
        <v>4605</v>
      </c>
      <c r="J363" s="13">
        <f t="shared" si="70"/>
        <v>-5.666618071297526</v>
      </c>
      <c r="K363" s="10">
        <f t="shared" si="74"/>
        <v>262.6896685705164</v>
      </c>
      <c r="L363" s="13">
        <f t="shared" si="68"/>
        <v>11.121107580085514</v>
      </c>
      <c r="M363" s="10">
        <f t="shared" si="69"/>
        <v>-1.9413924199144859</v>
      </c>
      <c r="N363" s="10">
        <f t="shared" si="75"/>
        <v>238.93093874033372</v>
      </c>
      <c r="P363" s="13">
        <f t="shared" si="72"/>
        <v>5.454489508787988</v>
      </c>
      <c r="Q363" s="13">
        <f t="shared" si="73"/>
        <v>0</v>
      </c>
    </row>
    <row r="364" spans="9:17" ht="12.75">
      <c r="I364" s="2">
        <f t="shared" si="71"/>
        <v>4620</v>
      </c>
      <c r="J364" s="13">
        <f t="shared" si="70"/>
        <v>-5.65614611304066</v>
      </c>
      <c r="K364" s="10">
        <f t="shared" si="74"/>
        <v>262.60133070595367</v>
      </c>
      <c r="L364" s="13">
        <f aca="true" t="shared" si="76" ref="L364:L427">(K364-N364)/D$12</f>
        <v>11.123515191193892</v>
      </c>
      <c r="M364" s="10">
        <f t="shared" si="69"/>
        <v>-1.938984808806108</v>
      </c>
      <c r="N364" s="10">
        <f t="shared" si="75"/>
        <v>238.83745734294854</v>
      </c>
      <c r="P364" s="13">
        <f t="shared" si="72"/>
        <v>5.467369078153232</v>
      </c>
      <c r="Q364" s="13">
        <f t="shared" si="73"/>
        <v>0</v>
      </c>
    </row>
    <row r="365" spans="9:17" ht="12.75">
      <c r="I365" s="2">
        <f t="shared" si="71"/>
        <v>4635</v>
      </c>
      <c r="J365" s="13">
        <f t="shared" si="70"/>
        <v>-5.6457302959642135</v>
      </c>
      <c r="K365" s="10">
        <f t="shared" si="74"/>
        <v>262.51315609051386</v>
      </c>
      <c r="L365" s="13">
        <f t="shared" si="76"/>
        <v>11.12594495138299</v>
      </c>
      <c r="M365" s="10">
        <f t="shared" si="69"/>
        <v>-1.9365550486170093</v>
      </c>
      <c r="N365" s="10">
        <f t="shared" si="75"/>
        <v>238.74409187619565</v>
      </c>
      <c r="P365" s="13">
        <f t="shared" si="72"/>
        <v>5.480214655418777</v>
      </c>
      <c r="Q365" s="13">
        <f t="shared" si="73"/>
        <v>0</v>
      </c>
    </row>
    <row r="366" spans="9:17" ht="12.75">
      <c r="I366" s="2">
        <f t="shared" si="71"/>
        <v>4650</v>
      </c>
      <c r="J366" s="13">
        <f t="shared" si="70"/>
        <v>-5.635369520466384</v>
      </c>
      <c r="K366" s="10">
        <f t="shared" si="74"/>
        <v>262.42514384900267</v>
      </c>
      <c r="L366" s="13">
        <f t="shared" si="76"/>
        <v>11.128395951766906</v>
      </c>
      <c r="M366" s="10">
        <f aca="true" t="shared" si="77" ref="M366:M429">L366-VLOOKUP(N366,A$44:C$251,2,TRUE)</f>
        <v>-1.9341040482330936</v>
      </c>
      <c r="N366" s="10">
        <f t="shared" si="75"/>
        <v>238.65084340659155</v>
      </c>
      <c r="P366" s="13">
        <f t="shared" si="72"/>
        <v>5.493026431300523</v>
      </c>
      <c r="Q366" s="13">
        <f t="shared" si="73"/>
        <v>0</v>
      </c>
    </row>
    <row r="367" spans="9:17" ht="12.75">
      <c r="I367" s="2">
        <f t="shared" si="71"/>
        <v>4665</v>
      </c>
      <c r="J367" s="13">
        <f t="shared" si="70"/>
        <v>-5.6250627185318365</v>
      </c>
      <c r="K367" s="10">
        <f t="shared" si="74"/>
        <v>262.33729312336766</v>
      </c>
      <c r="L367" s="13">
        <f t="shared" si="76"/>
        <v>11.130867311969084</v>
      </c>
      <c r="M367" s="10">
        <f t="shared" si="77"/>
        <v>-1.9316326880309163</v>
      </c>
      <c r="N367" s="10">
        <f t="shared" si="75"/>
        <v>238.55771295688825</v>
      </c>
      <c r="P367" s="13">
        <f t="shared" si="72"/>
        <v>5.505804593437247</v>
      </c>
      <c r="Q367" s="13">
        <f t="shared" si="73"/>
        <v>0</v>
      </c>
    </row>
    <row r="368" spans="9:17" ht="12.75">
      <c r="I368" s="2">
        <f t="shared" si="71"/>
        <v>4680</v>
      </c>
      <c r="J368" s="13">
        <f t="shared" si="70"/>
        <v>-5.614808852774282</v>
      </c>
      <c r="K368" s="10">
        <f t="shared" si="74"/>
        <v>262.24960307220584</v>
      </c>
      <c r="L368" s="13">
        <f t="shared" si="76"/>
        <v>11.133358179249186</v>
      </c>
      <c r="M368" s="10">
        <f t="shared" si="77"/>
        <v>-1.9291418207508144</v>
      </c>
      <c r="N368" s="10">
        <f t="shared" si="75"/>
        <v>238.46470150744622</v>
      </c>
      <c r="P368" s="13">
        <f t="shared" si="72"/>
        <v>5.518549326474903</v>
      </c>
      <c r="Q368" s="13">
        <f t="shared" si="73"/>
        <v>0</v>
      </c>
    </row>
    <row r="369" spans="9:17" ht="12.75">
      <c r="I369" s="2">
        <f t="shared" si="71"/>
        <v>4695</v>
      </c>
      <c r="J369" s="13">
        <f t="shared" si="70"/>
        <v>-5.604606915508508</v>
      </c>
      <c r="K369" s="10">
        <f t="shared" si="74"/>
        <v>262.16207287028624</v>
      </c>
      <c r="L369" s="13">
        <f t="shared" si="76"/>
        <v>11.1358677276568</v>
      </c>
      <c r="M369" s="10">
        <f t="shared" si="77"/>
        <v>-1.9266322723432001</v>
      </c>
      <c r="N369" s="10">
        <f t="shared" si="75"/>
        <v>238.3718099975649</v>
      </c>
      <c r="P369" s="13">
        <f t="shared" si="72"/>
        <v>5.531260812148292</v>
      </c>
      <c r="Q369" s="13">
        <f t="shared" si="73"/>
        <v>0</v>
      </c>
    </row>
    <row r="370" spans="9:17" ht="12.75">
      <c r="I370" s="2">
        <f t="shared" si="71"/>
        <v>4710</v>
      </c>
      <c r="J370" s="13">
        <f t="shared" si="70"/>
        <v>-5.594455927850584</v>
      </c>
      <c r="K370" s="10">
        <f t="shared" si="74"/>
        <v>262.0747017080868</v>
      </c>
      <c r="L370" s="13">
        <f t="shared" si="76"/>
        <v>11.138395157210796</v>
      </c>
      <c r="M370" s="10">
        <f t="shared" si="77"/>
        <v>-1.9241048427892036</v>
      </c>
      <c r="N370" s="10">
        <f t="shared" si="75"/>
        <v>238.27903932677285</v>
      </c>
      <c r="P370" s="13">
        <f t="shared" si="72"/>
        <v>5.5439392293602126</v>
      </c>
      <c r="Q370" s="13">
        <f t="shared" si="73"/>
        <v>0</v>
      </c>
    </row>
    <row r="371" spans="9:17" ht="12.75">
      <c r="I371" s="2">
        <f t="shared" si="71"/>
        <v>4725</v>
      </c>
      <c r="J371" s="13">
        <f t="shared" si="70"/>
        <v>-5.584354938845658</v>
      </c>
      <c r="K371" s="10">
        <f t="shared" si="74"/>
        <v>261.9874887913455</v>
      </c>
      <c r="L371" s="13">
        <f t="shared" si="76"/>
        <v>11.140939693103872</v>
      </c>
      <c r="M371" s="10">
        <f t="shared" si="77"/>
        <v>-1.9215603068961276</v>
      </c>
      <c r="N371" s="10">
        <f t="shared" si="75"/>
        <v>238.18639035607816</v>
      </c>
      <c r="P371" s="13">
        <f t="shared" si="72"/>
        <v>5.556584754258214</v>
      </c>
      <c r="Q371" s="13">
        <f t="shared" si="73"/>
        <v>0</v>
      </c>
    </row>
    <row r="372" spans="9:17" ht="12.75">
      <c r="I372" s="2">
        <f t="shared" si="71"/>
        <v>4740</v>
      </c>
      <c r="J372" s="13">
        <f t="shared" si="70"/>
        <v>-5.574303024622505</v>
      </c>
      <c r="K372" s="10">
        <f t="shared" si="74"/>
        <v>261.900433340625</v>
      </c>
      <c r="L372" s="13">
        <f t="shared" si="76"/>
        <v>11.143500584931429</v>
      </c>
      <c r="M372" s="10">
        <f t="shared" si="77"/>
        <v>-1.918999415068571</v>
      </c>
      <c r="N372" s="10">
        <f t="shared" si="75"/>
        <v>238.09386390918058</v>
      </c>
      <c r="P372" s="13">
        <f t="shared" si="72"/>
        <v>5.569197560308924</v>
      </c>
      <c r="Q372" s="13">
        <f t="shared" si="73"/>
        <v>0</v>
      </c>
    </row>
    <row r="373" spans="9:17" ht="12.75">
      <c r="I373" s="2">
        <f t="shared" si="71"/>
        <v>4755</v>
      </c>
      <c r="J373" s="13">
        <f t="shared" si="70"/>
        <v>-5.564299287573595</v>
      </c>
      <c r="K373" s="10">
        <f t="shared" si="74"/>
        <v>261.81353459089013</v>
      </c>
      <c r="L373" s="13">
        <f t="shared" si="76"/>
        <v>11.146077105943775</v>
      </c>
      <c r="M373" s="10">
        <f t="shared" si="77"/>
        <v>-1.9164228940562253</v>
      </c>
      <c r="N373" s="10">
        <f t="shared" si="75"/>
        <v>238.0014607736466</v>
      </c>
      <c r="P373" s="13">
        <f t="shared" si="72"/>
        <v>5.581777818370179</v>
      </c>
      <c r="Q373" s="13">
        <f t="shared" si="73"/>
        <v>0</v>
      </c>
    </row>
    <row r="374" spans="9:17" ht="12.75">
      <c r="I374" s="2">
        <f t="shared" si="71"/>
        <v>4770</v>
      </c>
      <c r="J374" s="13">
        <f t="shared" si="70"/>
        <v>-5.55434285556055</v>
      </c>
      <c r="K374" s="10">
        <f t="shared" si="74"/>
        <v>261.72679179109883</v>
      </c>
      <c r="L374" s="13">
        <f t="shared" si="76"/>
        <v>11.148668552321434</v>
      </c>
      <c r="M374" s="10">
        <f t="shared" si="77"/>
        <v>-1.901331447678567</v>
      </c>
      <c r="N374" s="10">
        <f t="shared" si="75"/>
        <v>237.9091817020485</v>
      </c>
      <c r="P374" s="13">
        <f t="shared" si="72"/>
        <v>5.594325696760884</v>
      </c>
      <c r="Q374" s="13">
        <f t="shared" si="73"/>
        <v>0</v>
      </c>
    </row>
    <row r="375" spans="9:17" ht="12.75">
      <c r="I375" s="2">
        <f t="shared" si="71"/>
        <v>4785</v>
      </c>
      <c r="J375" s="13">
        <f t="shared" si="70"/>
        <v>-5.544151142316812</v>
      </c>
      <c r="K375" s="10">
        <f t="shared" si="74"/>
        <v>261.64020420380496</v>
      </c>
      <c r="L375" s="13">
        <f t="shared" si="76"/>
        <v>11.150992503645531</v>
      </c>
      <c r="M375" s="10">
        <f t="shared" si="77"/>
        <v>-1.8990074963544696</v>
      </c>
      <c r="N375" s="10">
        <f t="shared" si="75"/>
        <v>237.81762930965314</v>
      </c>
      <c r="P375" s="13">
        <f t="shared" si="72"/>
        <v>5.606841361328719</v>
      </c>
      <c r="Q375" s="13">
        <f t="shared" si="73"/>
        <v>0</v>
      </c>
    </row>
    <row r="376" spans="9:17" ht="12.75">
      <c r="I376" s="2">
        <f t="shared" si="71"/>
        <v>4800</v>
      </c>
      <c r="J376" s="13">
        <f aca="true" t="shared" si="78" ref="J376:J439">(D$7-K376)*(1/D$13+1/D$14)+D$16*(D$19*D$21*D$17+D$20*D$22*D$18)*(D$7^4-K376^4)-(K376-N376)/D$12</f>
        <v>-5.534014103292044</v>
      </c>
      <c r="K376" s="10">
        <f t="shared" si="74"/>
        <v>261.55377549684727</v>
      </c>
      <c r="L376" s="13">
        <f t="shared" si="76"/>
        <v>11.153338444703099</v>
      </c>
      <c r="M376" s="10">
        <f t="shared" si="77"/>
        <v>-1.8966615552969017</v>
      </c>
      <c r="N376" s="10">
        <f t="shared" si="75"/>
        <v>237.726188819527</v>
      </c>
      <c r="P376" s="13">
        <f t="shared" si="72"/>
        <v>5.619324341411055</v>
      </c>
      <c r="Q376" s="13">
        <f t="shared" si="73"/>
        <v>0</v>
      </c>
    </row>
    <row r="377" spans="9:17" ht="12.75">
      <c r="I377" s="2">
        <f aca="true" t="shared" si="79" ref="I377:I440">I376+I$41</f>
        <v>4815</v>
      </c>
      <c r="J377" s="13">
        <f t="shared" si="78"/>
        <v>-5.523930660989221</v>
      </c>
      <c r="K377" s="10">
        <f t="shared" si="74"/>
        <v>261.46750481790014</v>
      </c>
      <c r="L377" s="13">
        <f t="shared" si="76"/>
        <v>11.155705480904277</v>
      </c>
      <c r="M377" s="10">
        <f t="shared" si="77"/>
        <v>-1.8942945190957232</v>
      </c>
      <c r="N377" s="10">
        <f t="shared" si="75"/>
        <v>237.63486129051373</v>
      </c>
      <c r="P377" s="13">
        <f aca="true" t="shared" si="80" ref="P377:P440">(D$7-K377)*(1/D$13+1/D$14)+D$16*(D$19*D$21*D$17+D$20*D$22*D$18)*(D$7^4-K377^4)</f>
        <v>5.631774819915057</v>
      </c>
      <c r="Q377" s="13">
        <f aca="true" t="shared" si="81" ref="Q377:Q440">IF(K377=D$8,-J377,0)</f>
        <v>0</v>
      </c>
    </row>
    <row r="378" spans="9:17" ht="12.75">
      <c r="I378" s="2">
        <f t="shared" si="79"/>
        <v>4830</v>
      </c>
      <c r="J378" s="13">
        <f t="shared" si="78"/>
        <v>-5.5138997689105675</v>
      </c>
      <c r="K378" s="10">
        <f t="shared" si="74"/>
        <v>261.3813913314352</v>
      </c>
      <c r="L378" s="13">
        <f t="shared" si="76"/>
        <v>11.158092745685012</v>
      </c>
      <c r="M378" s="10">
        <f t="shared" si="77"/>
        <v>-1.8919072543149884</v>
      </c>
      <c r="N378" s="10">
        <f t="shared" si="75"/>
        <v>237.54364773838088</v>
      </c>
      <c r="P378" s="13">
        <f t="shared" si="80"/>
        <v>5.644192976774445</v>
      </c>
      <c r="Q378" s="13">
        <f t="shared" si="81"/>
        <v>0</v>
      </c>
    </row>
    <row r="379" spans="9:17" ht="12.75">
      <c r="I379" s="2">
        <f t="shared" si="79"/>
        <v>4845</v>
      </c>
      <c r="J379" s="13">
        <f t="shared" si="78"/>
        <v>-5.503920410618002</v>
      </c>
      <c r="K379" s="10">
        <f t="shared" si="74"/>
        <v>261.29543421823826</v>
      </c>
      <c r="L379" s="13">
        <f t="shared" si="76"/>
        <v>11.160499399649186</v>
      </c>
      <c r="M379" s="10">
        <f t="shared" si="77"/>
        <v>-1.8895006003508144</v>
      </c>
      <c r="N379" s="10">
        <f t="shared" si="75"/>
        <v>237.45254913716954</v>
      </c>
      <c r="P379" s="13">
        <f t="shared" si="80"/>
        <v>5.656578989031185</v>
      </c>
      <c r="Q379" s="13">
        <f t="shared" si="81"/>
        <v>0</v>
      </c>
    </row>
    <row r="380" spans="9:17" ht="12.75">
      <c r="I380" s="2">
        <f t="shared" si="79"/>
        <v>4860</v>
      </c>
      <c r="J380" s="13">
        <f t="shared" si="78"/>
        <v>-5.49399159882226</v>
      </c>
      <c r="K380" s="10">
        <f t="shared" si="74"/>
        <v>261.20963267494034</v>
      </c>
      <c r="L380" s="13">
        <f t="shared" si="76"/>
        <v>11.162924629736942</v>
      </c>
      <c r="M380" s="10">
        <f t="shared" si="77"/>
        <v>-1.8870753702630587</v>
      </c>
      <c r="N380" s="10">
        <f t="shared" si="75"/>
        <v>237.36156642050233</v>
      </c>
      <c r="P380" s="13">
        <f t="shared" si="80"/>
        <v>5.668933030914682</v>
      </c>
      <c r="Q380" s="13">
        <f t="shared" si="81"/>
        <v>0</v>
      </c>
    </row>
    <row r="381" spans="9:17" ht="12.75">
      <c r="I381" s="2">
        <f t="shared" si="79"/>
        <v>4875</v>
      </c>
      <c r="J381" s="13">
        <f t="shared" si="78"/>
        <v>-5.484112374499816</v>
      </c>
      <c r="K381" s="10">
        <f t="shared" si="74"/>
        <v>261.1239859135636</v>
      </c>
      <c r="L381" s="13">
        <f t="shared" si="76"/>
        <v>11.16536764841834</v>
      </c>
      <c r="M381" s="10">
        <f t="shared" si="77"/>
        <v>-1.8846323515816614</v>
      </c>
      <c r="N381" s="10">
        <f t="shared" si="75"/>
        <v>237.2707004828517</v>
      </c>
      <c r="P381" s="13">
        <f t="shared" si="80"/>
        <v>5.681255273918524</v>
      </c>
      <c r="Q381" s="13">
        <f t="shared" si="81"/>
        <v>0</v>
      </c>
    </row>
    <row r="382" spans="9:17" ht="12.75">
      <c r="I382" s="2">
        <f t="shared" si="79"/>
        <v>4890</v>
      </c>
      <c r="J382" s="13">
        <f t="shared" si="78"/>
        <v>-5.474281806036853</v>
      </c>
      <c r="K382" s="10">
        <f t="shared" si="74"/>
        <v>261.03849316108057</v>
      </c>
      <c r="L382" s="13">
        <f t="shared" si="76"/>
        <v>11.167827692911722</v>
      </c>
      <c r="M382" s="10">
        <f t="shared" si="77"/>
        <v>-1.882172307088279</v>
      </c>
      <c r="N382" s="10">
        <f t="shared" si="75"/>
        <v>237.17995218076916</v>
      </c>
      <c r="P382" s="13">
        <f t="shared" si="80"/>
        <v>5.693545886874869</v>
      </c>
      <c r="Q382" s="13">
        <f t="shared" si="81"/>
        <v>0</v>
      </c>
    </row>
    <row r="383" spans="9:17" ht="12.75">
      <c r="I383" s="2">
        <f t="shared" si="79"/>
        <v>4905</v>
      </c>
      <c r="J383" s="13">
        <f t="shared" si="78"/>
        <v>-5.464498988399361</v>
      </c>
      <c r="K383" s="10">
        <f t="shared" si="74"/>
        <v>260.9531536589868</v>
      </c>
      <c r="L383" s="13">
        <f t="shared" si="76"/>
        <v>11.170304024425903</v>
      </c>
      <c r="M383" s="10">
        <f t="shared" si="77"/>
        <v>-1.8796959755740978</v>
      </c>
      <c r="N383" s="10">
        <f t="shared" si="75"/>
        <v>237.08932233407694</v>
      </c>
      <c r="P383" s="13">
        <f t="shared" si="80"/>
        <v>5.7058050360265415</v>
      </c>
      <c r="Q383" s="13">
        <f t="shared" si="81"/>
        <v>0</v>
      </c>
    </row>
    <row r="384" spans="9:17" ht="12.75">
      <c r="I384" s="2">
        <f t="shared" si="79"/>
        <v>4920</v>
      </c>
      <c r="J384" s="13">
        <f t="shared" si="78"/>
        <v>-5.454763042328562</v>
      </c>
      <c r="K384" s="10">
        <f t="shared" si="74"/>
        <v>260.8679666628867</v>
      </c>
      <c r="L384" s="13">
        <f t="shared" si="76"/>
        <v>11.172795927425478</v>
      </c>
      <c r="M384" s="10">
        <f t="shared" si="77"/>
        <v>-1.864704072574522</v>
      </c>
      <c r="N384" s="10">
        <f t="shared" si="75"/>
        <v>236.9988117270232</v>
      </c>
      <c r="P384" s="13">
        <f t="shared" si="80"/>
        <v>5.718032885096916</v>
      </c>
      <c r="Q384" s="13">
        <f t="shared" si="81"/>
        <v>0</v>
      </c>
    </row>
    <row r="385" spans="9:17" ht="12.75">
      <c r="I385" s="2">
        <f t="shared" si="79"/>
        <v>4935</v>
      </c>
      <c r="J385" s="13">
        <f t="shared" si="78"/>
        <v>-5.44479137473393</v>
      </c>
      <c r="K385" s="10">
        <f t="shared" si="74"/>
        <v>260.78293144209147</v>
      </c>
      <c r="L385" s="13">
        <f t="shared" si="76"/>
        <v>11.175020970091602</v>
      </c>
      <c r="M385" s="10">
        <f t="shared" si="77"/>
        <v>-1.862479029908398</v>
      </c>
      <c r="N385" s="10">
        <f t="shared" si="75"/>
        <v>236.90902300598668</v>
      </c>
      <c r="P385" s="13">
        <f t="shared" si="80"/>
        <v>5.730229595357672</v>
      </c>
      <c r="Q385" s="13">
        <f t="shared" si="81"/>
        <v>0</v>
      </c>
    </row>
    <row r="386" spans="9:17" ht="12.75">
      <c r="I386" s="2">
        <f t="shared" si="79"/>
        <v>4950</v>
      </c>
      <c r="J386" s="13">
        <f t="shared" si="78"/>
        <v>-5.434873929662011</v>
      </c>
      <c r="K386" s="10">
        <f t="shared" si="74"/>
        <v>260.6980516713037</v>
      </c>
      <c r="L386" s="13">
        <f t="shared" si="76"/>
        <v>11.177268626118165</v>
      </c>
      <c r="M386" s="10">
        <f t="shared" si="77"/>
        <v>-1.8602313738818346</v>
      </c>
      <c r="N386" s="10">
        <f t="shared" si="75"/>
        <v>236.8193414245967</v>
      </c>
      <c r="P386" s="13">
        <f t="shared" si="80"/>
        <v>5.742394696456154</v>
      </c>
      <c r="Q386" s="13">
        <f t="shared" si="81"/>
        <v>0</v>
      </c>
    </row>
    <row r="387" spans="9:17" ht="12.75">
      <c r="I387" s="2">
        <f t="shared" si="79"/>
        <v>4965</v>
      </c>
      <c r="J387" s="13">
        <f t="shared" si="78"/>
        <v>-5.425009623595377</v>
      </c>
      <c r="K387" s="10">
        <f t="shared" si="74"/>
        <v>260.61332650523934</v>
      </c>
      <c r="L387" s="13">
        <f t="shared" si="76"/>
        <v>11.179537990155355</v>
      </c>
      <c r="M387" s="10">
        <f t="shared" si="77"/>
        <v>-1.8579620098446448</v>
      </c>
      <c r="N387" s="10">
        <f t="shared" si="75"/>
        <v>236.72976807172563</v>
      </c>
      <c r="P387" s="13">
        <f t="shared" si="80"/>
        <v>5.754528366559978</v>
      </c>
      <c r="Q387" s="13">
        <f t="shared" si="81"/>
        <v>0</v>
      </c>
    </row>
    <row r="388" spans="9:17" ht="12.75">
      <c r="I388" s="2">
        <f t="shared" si="79"/>
        <v>4980</v>
      </c>
      <c r="J388" s="13">
        <f t="shared" si="78"/>
        <v>-5.415197404275732</v>
      </c>
      <c r="K388" s="10">
        <f t="shared" si="74"/>
        <v>260.5287551155055</v>
      </c>
      <c r="L388" s="13">
        <f t="shared" si="76"/>
        <v>11.181828185165626</v>
      </c>
      <c r="M388" s="10">
        <f t="shared" si="77"/>
        <v>-1.8556718148343734</v>
      </c>
      <c r="N388" s="10">
        <f t="shared" si="75"/>
        <v>236.64030399265164</v>
      </c>
      <c r="P388" s="13">
        <f t="shared" si="80"/>
        <v>5.766630780889894</v>
      </c>
      <c r="Q388" s="13">
        <f t="shared" si="81"/>
        <v>0</v>
      </c>
    </row>
    <row r="389" spans="9:17" ht="12.75">
      <c r="I389" s="2">
        <f t="shared" si="79"/>
        <v>4995</v>
      </c>
      <c r="J389" s="13">
        <f t="shared" si="78"/>
        <v>-5.405436249756202</v>
      </c>
      <c r="K389" s="10">
        <f t="shared" si="74"/>
        <v>260.444336690113</v>
      </c>
      <c r="L389" s="13">
        <f t="shared" si="76"/>
        <v>11.184138361557459</v>
      </c>
      <c r="M389" s="10">
        <f t="shared" si="77"/>
        <v>-1.853361638442541</v>
      </c>
      <c r="N389" s="10">
        <f t="shared" si="75"/>
        <v>236.55095019042207</v>
      </c>
      <c r="P389" s="13">
        <f t="shared" si="80"/>
        <v>5.778702111801256</v>
      </c>
      <c r="Q389" s="13">
        <f t="shared" si="81"/>
        <v>0</v>
      </c>
    </row>
    <row r="390" spans="9:17" ht="12.75">
      <c r="I390" s="2">
        <f t="shared" si="79"/>
        <v>5010</v>
      </c>
      <c r="J390" s="13">
        <f t="shared" si="78"/>
        <v>-5.395725167482658</v>
      </c>
      <c r="K390" s="10">
        <f t="shared" si="74"/>
        <v>260.3600704330042</v>
      </c>
      <c r="L390" s="13">
        <f t="shared" si="76"/>
        <v>11.1864676963456</v>
      </c>
      <c r="M390" s="10">
        <f t="shared" si="77"/>
        <v>-1.8510323036543994</v>
      </c>
      <c r="N390" s="10">
        <f t="shared" si="75"/>
        <v>236.46170762717495</v>
      </c>
      <c r="P390" s="13">
        <f t="shared" si="80"/>
        <v>5.790742528862943</v>
      </c>
      <c r="Q390" s="13">
        <f t="shared" si="81"/>
        <v>0</v>
      </c>
    </row>
    <row r="391" spans="9:17" ht="12.75">
      <c r="I391" s="2">
        <f t="shared" si="79"/>
        <v>5025</v>
      </c>
      <c r="J391" s="13">
        <f t="shared" si="78"/>
        <v>-5.386063193402965</v>
      </c>
      <c r="K391" s="10">
        <f t="shared" si="74"/>
        <v>260.2759555635943</v>
      </c>
      <c r="L391" s="13">
        <f t="shared" si="76"/>
        <v>11.188815392336863</v>
      </c>
      <c r="M391" s="10">
        <f t="shared" si="77"/>
        <v>-1.8486846076631362</v>
      </c>
      <c r="N391" s="10">
        <f t="shared" si="75"/>
        <v>236.37257722542012</v>
      </c>
      <c r="P391" s="13">
        <f t="shared" si="80"/>
        <v>5.802752198933899</v>
      </c>
      <c r="Q391" s="13">
        <f t="shared" si="81"/>
        <v>0</v>
      </c>
    </row>
    <row r="392" spans="9:17" ht="12.75">
      <c r="I392" s="2">
        <f t="shared" si="79"/>
        <v>5040</v>
      </c>
      <c r="J392" s="13">
        <f t="shared" si="78"/>
        <v>-5.37644939110349</v>
      </c>
      <c r="K392" s="10">
        <f t="shared" si="74"/>
        <v>260.19199131632746</v>
      </c>
      <c r="L392" s="13">
        <f t="shared" si="76"/>
        <v>11.19118067734078</v>
      </c>
      <c r="M392" s="10">
        <f t="shared" si="77"/>
        <v>-1.8463193226592196</v>
      </c>
      <c r="N392" s="10">
        <f t="shared" si="75"/>
        <v>236.28355986928125</v>
      </c>
      <c r="P392" s="13">
        <f t="shared" si="80"/>
        <v>5.81473128623729</v>
      </c>
      <c r="Q392" s="13">
        <f t="shared" si="81"/>
        <v>0</v>
      </c>
    </row>
    <row r="393" spans="9:17" ht="12.75">
      <c r="I393" s="2">
        <f t="shared" si="79"/>
        <v>5055</v>
      </c>
      <c r="J393" s="13">
        <f t="shared" si="78"/>
        <v>-5.366882850972157</v>
      </c>
      <c r="K393" s="10">
        <f t="shared" si="74"/>
        <v>260.10817694024564</v>
      </c>
      <c r="L393" s="13">
        <f t="shared" si="76"/>
        <v>11.19356280340451</v>
      </c>
      <c r="M393" s="10">
        <f t="shared" si="77"/>
        <v>-1.8439371965954905</v>
      </c>
      <c r="N393" s="10">
        <f t="shared" si="75"/>
        <v>236.19465640569965</v>
      </c>
      <c r="P393" s="13">
        <f t="shared" si="80"/>
        <v>5.826679952432352</v>
      </c>
      <c r="Q393" s="13">
        <f t="shared" si="81"/>
        <v>0</v>
      </c>
    </row>
    <row r="394" spans="9:17" ht="12.75">
      <c r="I394" s="2">
        <f t="shared" si="79"/>
        <v>5070</v>
      </c>
      <c r="J394" s="13">
        <f t="shared" si="78"/>
        <v>-5.357362689386753</v>
      </c>
      <c r="K394" s="10">
        <f t="shared" si="74"/>
        <v>260.02451169857096</v>
      </c>
      <c r="L394" s="13">
        <f t="shared" si="76"/>
        <v>11.195961046070849</v>
      </c>
      <c r="M394" s="10">
        <f t="shared" si="77"/>
        <v>-1.8415389539291507</v>
      </c>
      <c r="N394" s="10">
        <f t="shared" si="75"/>
        <v>236.10586764560142</v>
      </c>
      <c r="P394" s="13">
        <f t="shared" si="80"/>
        <v>5.838598356684096</v>
      </c>
      <c r="Q394" s="13">
        <f t="shared" si="81"/>
        <v>0</v>
      </c>
    </row>
    <row r="395" spans="9:17" ht="12.75">
      <c r="I395" s="2">
        <f t="shared" si="79"/>
        <v>5085</v>
      </c>
      <c r="J395" s="13">
        <f t="shared" si="78"/>
        <v>-5.347888047928236</v>
      </c>
      <c r="K395" s="10">
        <f t="shared" si="74"/>
        <v>259.94099486830044</v>
      </c>
      <c r="L395" s="13">
        <f t="shared" si="76"/>
        <v>11.198374703659045</v>
      </c>
      <c r="M395" s="10">
        <f t="shared" si="77"/>
        <v>-1.8391252963409546</v>
      </c>
      <c r="N395" s="10">
        <f t="shared" si="75"/>
        <v>236.01719436502884</v>
      </c>
      <c r="P395" s="13">
        <f t="shared" si="80"/>
        <v>5.850486655730809</v>
      </c>
      <c r="Q395" s="13">
        <f t="shared" si="81"/>
        <v>0</v>
      </c>
    </row>
    <row r="396" spans="9:17" ht="12.75">
      <c r="I396" s="2">
        <f t="shared" si="79"/>
        <v>5100</v>
      </c>
      <c r="J396" s="13">
        <f t="shared" si="78"/>
        <v>-5.338458092618012</v>
      </c>
      <c r="K396" s="10">
        <f t="shared" si="74"/>
        <v>259.8576257398131</v>
      </c>
      <c r="L396" s="13">
        <f t="shared" si="76"/>
        <v>11.20080309656754</v>
      </c>
      <c r="M396" s="10">
        <f t="shared" si="77"/>
        <v>-1.82419690343246</v>
      </c>
      <c r="N396" s="10">
        <f t="shared" si="75"/>
        <v>235.928637306237</v>
      </c>
      <c r="P396" s="13">
        <f t="shared" si="80"/>
        <v>5.862345003949528</v>
      </c>
      <c r="Q396" s="13">
        <f t="shared" si="81"/>
        <v>0</v>
      </c>
    </row>
    <row r="397" spans="9:17" ht="12.75">
      <c r="I397" s="2">
        <f t="shared" si="79"/>
        <v>5115</v>
      </c>
      <c r="J397" s="13">
        <f t="shared" si="78"/>
        <v>-5.328790274351624</v>
      </c>
      <c r="K397" s="10">
        <f t="shared" si="74"/>
        <v>259.7744036164891</v>
      </c>
      <c r="L397" s="13">
        <f t="shared" si="76"/>
        <v>11.202963827771079</v>
      </c>
      <c r="M397" s="10">
        <f t="shared" si="77"/>
        <v>-1.8220361722289216</v>
      </c>
      <c r="N397" s="10">
        <f t="shared" si="75"/>
        <v>235.8407990753418</v>
      </c>
      <c r="P397" s="13">
        <f t="shared" si="80"/>
        <v>5.874173553419455</v>
      </c>
      <c r="Q397" s="13">
        <f t="shared" si="81"/>
        <v>0</v>
      </c>
    </row>
    <row r="398" spans="9:17" ht="12.75">
      <c r="I398" s="2">
        <f t="shared" si="79"/>
        <v>5130</v>
      </c>
      <c r="J398" s="13">
        <f t="shared" si="78"/>
        <v>-5.319174574222155</v>
      </c>
      <c r="K398" s="10">
        <f t="shared" si="74"/>
        <v>259.69133220641413</v>
      </c>
      <c r="L398" s="13">
        <f t="shared" si="76"/>
        <v>11.205146404651844</v>
      </c>
      <c r="M398" s="10">
        <f t="shared" si="77"/>
        <v>-1.8198535953481567</v>
      </c>
      <c r="N398" s="10">
        <f t="shared" si="75"/>
        <v>235.7530648873852</v>
      </c>
      <c r="P398" s="13">
        <f t="shared" si="80"/>
        <v>5.885971830429689</v>
      </c>
      <c r="Q398" s="13">
        <f t="shared" si="81"/>
        <v>0</v>
      </c>
    </row>
    <row r="399" spans="9:17" ht="12.75">
      <c r="I399" s="2">
        <f t="shared" si="79"/>
        <v>5145</v>
      </c>
      <c r="J399" s="13">
        <f t="shared" si="78"/>
        <v>-5.309609950503901</v>
      </c>
      <c r="K399" s="10">
        <f aca="true" t="shared" si="82" ref="K399:K462">MAX(D$8,K398+J398*I$41/VLOOKUP(K398,E$44:G$251,3,TRUE))</f>
        <v>259.6084106971098</v>
      </c>
      <c r="L399" s="13">
        <f t="shared" si="76"/>
        <v>11.207349954518767</v>
      </c>
      <c r="M399" s="10">
        <f t="shared" si="77"/>
        <v>-1.8176500454812334</v>
      </c>
      <c r="N399" s="10">
        <f aca="true" t="shared" si="83" ref="N399:N462">N398+M398*I$41/VLOOKUP(N398,A$44:C$251,3,TRUE)</f>
        <v>235.66543579427423</v>
      </c>
      <c r="P399" s="13">
        <f t="shared" si="80"/>
        <v>5.8977400040148655</v>
      </c>
      <c r="Q399" s="13">
        <f t="shared" si="81"/>
        <v>0</v>
      </c>
    </row>
    <row r="400" spans="9:17" ht="12.75">
      <c r="I400" s="2">
        <f t="shared" si="79"/>
        <v>5160</v>
      </c>
      <c r="J400" s="13">
        <f t="shared" si="78"/>
        <v>-5.300095391539185</v>
      </c>
      <c r="K400" s="10">
        <f t="shared" si="82"/>
        <v>259.5256382923373</v>
      </c>
      <c r="L400" s="13">
        <f t="shared" si="76"/>
        <v>11.209573631951992</v>
      </c>
      <c r="M400" s="10">
        <f t="shared" si="77"/>
        <v>-1.8154263680480085</v>
      </c>
      <c r="N400" s="10">
        <f t="shared" si="83"/>
        <v>235.5779128058944</v>
      </c>
      <c r="P400" s="13">
        <f t="shared" si="80"/>
        <v>5.909478240412807</v>
      </c>
      <c r="Q400" s="13">
        <f t="shared" si="81"/>
        <v>0</v>
      </c>
    </row>
    <row r="401" spans="9:17" ht="12.75">
      <c r="I401" s="2">
        <f t="shared" si="79"/>
        <v>5175</v>
      </c>
      <c r="J401" s="13">
        <f t="shared" si="78"/>
        <v>-5.290629914826787</v>
      </c>
      <c r="K401" s="10">
        <f t="shared" si="82"/>
        <v>259.44301421162874</v>
      </c>
      <c r="L401" s="13">
        <f t="shared" si="76"/>
        <v>11.211816617968726</v>
      </c>
      <c r="M401" s="10">
        <f t="shared" si="77"/>
        <v>-1.8131833820312746</v>
      </c>
      <c r="N401" s="10">
        <f t="shared" si="83"/>
        <v>235.49049689142282</v>
      </c>
      <c r="P401" s="13">
        <f t="shared" si="80"/>
        <v>5.921186703141939</v>
      </c>
      <c r="Q401" s="13">
        <f t="shared" si="81"/>
        <v>0</v>
      </c>
    </row>
    <row r="402" spans="9:17" ht="12.75">
      <c r="I402" s="2">
        <f t="shared" si="79"/>
        <v>5190</v>
      </c>
      <c r="J402" s="13">
        <f t="shared" si="78"/>
        <v>-5.2812125661385245</v>
      </c>
      <c r="K402" s="10">
        <f t="shared" si="82"/>
        <v>259.36053768983265</v>
      </c>
      <c r="L402" s="13">
        <f t="shared" si="76"/>
        <v>11.21407811921477</v>
      </c>
      <c r="M402" s="10">
        <f t="shared" si="77"/>
        <v>-1.81092188078523</v>
      </c>
      <c r="N402" s="10">
        <f t="shared" si="83"/>
        <v>235.4031889806011</v>
      </c>
      <c r="P402" s="13">
        <f t="shared" si="80"/>
        <v>5.932865553076246</v>
      </c>
      <c r="Q402" s="13">
        <f t="shared" si="81"/>
        <v>0</v>
      </c>
    </row>
    <row r="403" spans="9:17" ht="12.75">
      <c r="I403" s="2">
        <f t="shared" si="79"/>
        <v>5205</v>
      </c>
      <c r="J403" s="13">
        <f t="shared" si="78"/>
        <v>-5.271842418662418</v>
      </c>
      <c r="K403" s="10">
        <f t="shared" si="82"/>
        <v>259.2782079766731</v>
      </c>
      <c r="L403" s="13">
        <f t="shared" si="76"/>
        <v>11.216357367180429</v>
      </c>
      <c r="M403" s="10">
        <f t="shared" si="77"/>
        <v>-1.8086426328195717</v>
      </c>
      <c r="N403" s="10">
        <f t="shared" si="83"/>
        <v>235.31598996496948</v>
      </c>
      <c r="P403" s="13">
        <f t="shared" si="80"/>
        <v>5.944514948518011</v>
      </c>
      <c r="Q403" s="13">
        <f t="shared" si="81"/>
        <v>0</v>
      </c>
    </row>
    <row r="404" spans="9:17" ht="12.75">
      <c r="I404" s="2">
        <f t="shared" si="79"/>
        <v>5220</v>
      </c>
      <c r="J404" s="13">
        <f t="shared" si="78"/>
        <v>-5.262518572172266</v>
      </c>
      <c r="K404" s="10">
        <f t="shared" si="82"/>
        <v>259.19602433632247</v>
      </c>
      <c r="L404" s="13">
        <f t="shared" si="76"/>
        <v>11.218653617440513</v>
      </c>
      <c r="M404" s="10">
        <f t="shared" si="77"/>
        <v>-1.8063463825594877</v>
      </c>
      <c r="N404" s="10">
        <f t="shared" si="83"/>
        <v>235.2289006990632</v>
      </c>
      <c r="P404" s="13">
        <f t="shared" si="80"/>
        <v>5.956135045268247</v>
      </c>
      <c r="Q404" s="13">
        <f t="shared" si="81"/>
        <v>0</v>
      </c>
    </row>
    <row r="405" spans="9:17" ht="12.75">
      <c r="I405" s="2">
        <f t="shared" si="79"/>
        <v>5235</v>
      </c>
      <c r="J405" s="13">
        <f t="shared" si="78"/>
        <v>-5.253240152222579</v>
      </c>
      <c r="K405" s="10">
        <f t="shared" si="82"/>
        <v>259.11398604698684</v>
      </c>
      <c r="L405" s="13">
        <f t="shared" si="76"/>
        <v>11.220966148917558</v>
      </c>
      <c r="M405" s="10">
        <f t="shared" si="77"/>
        <v>-1.8040338510824423</v>
      </c>
      <c r="N405" s="10">
        <f t="shared" si="83"/>
        <v>235.14192200157206</v>
      </c>
      <c r="P405" s="13">
        <f t="shared" si="80"/>
        <v>5.967725996694979</v>
      </c>
      <c r="Q405" s="13">
        <f t="shared" si="81"/>
        <v>0</v>
      </c>
    </row>
    <row r="406" spans="9:17" ht="12.75">
      <c r="I406" s="2">
        <f t="shared" si="79"/>
        <v>5250</v>
      </c>
      <c r="J406" s="13">
        <f t="shared" si="78"/>
        <v>-5.2440063093679665</v>
      </c>
      <c r="K406" s="10">
        <f t="shared" si="82"/>
        <v>259.03209240050427</v>
      </c>
      <c r="L406" s="13">
        <f t="shared" si="76"/>
        <v>11.223294263167428</v>
      </c>
      <c r="M406" s="10">
        <f t="shared" si="77"/>
        <v>-1.801705736832572</v>
      </c>
      <c r="N406" s="10">
        <f t="shared" si="83"/>
        <v>235.05505465646476</v>
      </c>
      <c r="P406" s="13">
        <f t="shared" si="80"/>
        <v>5.979287953799462</v>
      </c>
      <c r="Q406" s="13">
        <f t="shared" si="81"/>
        <v>0</v>
      </c>
    </row>
    <row r="407" spans="9:17" ht="12.75">
      <c r="I407" s="2">
        <f t="shared" si="79"/>
        <v>5265</v>
      </c>
      <c r="J407" s="13">
        <f t="shared" si="78"/>
        <v>-5.234816218406377</v>
      </c>
      <c r="K407" s="10">
        <f t="shared" si="82"/>
        <v>258.95034270195487</v>
      </c>
      <c r="L407" s="13">
        <f t="shared" si="76"/>
        <v>11.225637283686691</v>
      </c>
      <c r="M407" s="10">
        <f t="shared" si="77"/>
        <v>-1.7868627163133084</v>
      </c>
      <c r="N407" s="10">
        <f t="shared" si="83"/>
        <v>234.96829941407876</v>
      </c>
      <c r="P407" s="13">
        <f t="shared" si="80"/>
        <v>5.990821065280314</v>
      </c>
      <c r="Q407" s="13">
        <f t="shared" si="81"/>
        <v>0</v>
      </c>
    </row>
    <row r="408" spans="9:17" ht="12.75">
      <c r="I408" s="2">
        <f t="shared" si="79"/>
        <v>5280</v>
      </c>
      <c r="J408" s="13">
        <f t="shared" si="78"/>
        <v>-5.225387338818638</v>
      </c>
      <c r="K408" s="10">
        <f t="shared" si="82"/>
        <v>258.86873626928303</v>
      </c>
      <c r="L408" s="13">
        <f t="shared" si="76"/>
        <v>11.22771281641435</v>
      </c>
      <c r="M408" s="10">
        <f t="shared" si="77"/>
        <v>-1.7847871835856495</v>
      </c>
      <c r="N408" s="10">
        <f t="shared" si="83"/>
        <v>234.88225888876147</v>
      </c>
      <c r="P408" s="13">
        <f t="shared" si="80"/>
        <v>6.002325477595712</v>
      </c>
      <c r="Q408" s="13">
        <f t="shared" si="81"/>
        <v>0</v>
      </c>
    </row>
    <row r="409" spans="9:17" ht="12.75">
      <c r="I409" s="2">
        <f t="shared" si="79"/>
        <v>5295</v>
      </c>
      <c r="J409" s="13">
        <f t="shared" si="78"/>
        <v>-5.216009655030192</v>
      </c>
      <c r="K409" s="10">
        <f t="shared" si="82"/>
        <v>258.7872768250049</v>
      </c>
      <c r="L409" s="13">
        <f t="shared" si="76"/>
        <v>11.229810371567428</v>
      </c>
      <c r="M409" s="10">
        <f t="shared" si="77"/>
        <v>-1.7826896284325713</v>
      </c>
      <c r="N409" s="10">
        <f t="shared" si="83"/>
        <v>234.796318303929</v>
      </c>
      <c r="P409" s="13">
        <f t="shared" si="80"/>
        <v>6.013800716537236</v>
      </c>
      <c r="Q409" s="13">
        <f t="shared" si="81"/>
        <v>0</v>
      </c>
    </row>
    <row r="410" spans="9:17" ht="12.75">
      <c r="I410" s="2">
        <f t="shared" si="79"/>
        <v>5310</v>
      </c>
      <c r="J410" s="13">
        <f t="shared" si="78"/>
        <v>-5.206682133781637</v>
      </c>
      <c r="K410" s="10">
        <f t="shared" si="82"/>
        <v>258.7059635710205</v>
      </c>
      <c r="L410" s="13">
        <f t="shared" si="76"/>
        <v>11.23192907920146</v>
      </c>
      <c r="M410" s="10">
        <f t="shared" si="77"/>
        <v>-1.7805709207985387</v>
      </c>
      <c r="N410" s="10">
        <f t="shared" si="83"/>
        <v>234.7104787199992</v>
      </c>
      <c r="P410" s="13">
        <f t="shared" si="80"/>
        <v>6.025246945419823</v>
      </c>
      <c r="Q410" s="13">
        <f t="shared" si="81"/>
        <v>0</v>
      </c>
    </row>
    <row r="411" spans="9:17" ht="12.75">
      <c r="I411" s="2">
        <f t="shared" si="79"/>
        <v>5325</v>
      </c>
      <c r="J411" s="13">
        <f t="shared" si="78"/>
        <v>-5.1974037716967025</v>
      </c>
      <c r="K411" s="10">
        <f t="shared" si="82"/>
        <v>258.62479572533755</v>
      </c>
      <c r="L411" s="13">
        <f t="shared" si="76"/>
        <v>11.234068096519463</v>
      </c>
      <c r="M411" s="10">
        <f t="shared" si="77"/>
        <v>-1.778431903480536</v>
      </c>
      <c r="N411" s="10">
        <f t="shared" si="83"/>
        <v>234.62474115550052</v>
      </c>
      <c r="P411" s="13">
        <f t="shared" si="80"/>
        <v>6.036664324822761</v>
      </c>
      <c r="Q411" s="13">
        <f t="shared" si="81"/>
        <v>0</v>
      </c>
    </row>
    <row r="412" spans="9:17" ht="12.75">
      <c r="I412" s="2">
        <f t="shared" si="79"/>
        <v>5340</v>
      </c>
      <c r="J412" s="13">
        <f t="shared" si="78"/>
        <v>-5.18817359437641</v>
      </c>
      <c r="K412" s="10">
        <f t="shared" si="82"/>
        <v>258.5437725216056</v>
      </c>
      <c r="L412" s="13">
        <f t="shared" si="76"/>
        <v>11.236226607042088</v>
      </c>
      <c r="M412" s="10">
        <f t="shared" si="77"/>
        <v>-1.7762733929579113</v>
      </c>
      <c r="N412" s="10">
        <f t="shared" si="83"/>
        <v>234.53910658837933</v>
      </c>
      <c r="P412" s="13">
        <f t="shared" si="80"/>
        <v>6.048053012665678</v>
      </c>
      <c r="Q412" s="13">
        <f t="shared" si="81"/>
        <v>0</v>
      </c>
    </row>
    <row r="413" spans="9:17" ht="12.75">
      <c r="I413" s="2">
        <f t="shared" si="79"/>
        <v>5355</v>
      </c>
      <c r="J413" s="13">
        <f t="shared" si="78"/>
        <v>-5.1789906555206375</v>
      </c>
      <c r="K413" s="10">
        <f t="shared" si="82"/>
        <v>258.4628932086642</v>
      </c>
      <c r="L413" s="13">
        <f t="shared" si="76"/>
        <v>11.238403819802901</v>
      </c>
      <c r="M413" s="10">
        <f t="shared" si="77"/>
        <v>-1.7740961801970982</v>
      </c>
      <c r="N413" s="10">
        <f t="shared" si="83"/>
        <v>234.45357595726708</v>
      </c>
      <c r="P413" s="13">
        <f t="shared" si="80"/>
        <v>6.0594131642822635</v>
      </c>
      <c r="Q413" s="13">
        <f t="shared" si="81"/>
        <v>0</v>
      </c>
    </row>
    <row r="414" spans="9:17" ht="12.75">
      <c r="I414" s="2">
        <f t="shared" si="79"/>
        <v>5370</v>
      </c>
      <c r="J414" s="13">
        <f t="shared" si="78"/>
        <v>-5.16985403607673</v>
      </c>
      <c r="K414" s="10">
        <f t="shared" si="82"/>
        <v>258.3821570501049</v>
      </c>
      <c r="L414" s="13">
        <f t="shared" si="76"/>
        <v>11.240598968568378</v>
      </c>
      <c r="M414" s="10">
        <f t="shared" si="77"/>
        <v>-1.7719010314316215</v>
      </c>
      <c r="N414" s="10">
        <f t="shared" si="83"/>
        <v>234.36815016270884</v>
      </c>
      <c r="P414" s="13">
        <f t="shared" si="80"/>
        <v>6.070744932491648</v>
      </c>
      <c r="Q414" s="13">
        <f t="shared" si="81"/>
        <v>0</v>
      </c>
    </row>
    <row r="415" spans="9:17" ht="12.75">
      <c r="I415" s="2">
        <f t="shared" si="79"/>
        <v>5385</v>
      </c>
      <c r="J415" s="13">
        <f t="shared" si="78"/>
        <v>-5.160762843413985</v>
      </c>
      <c r="K415" s="10">
        <f t="shared" si="82"/>
        <v>258.3015633238467</v>
      </c>
      <c r="L415" s="13">
        <f t="shared" si="76"/>
        <v>11.242811311081606</v>
      </c>
      <c r="M415" s="10">
        <f t="shared" si="77"/>
        <v>-1.769688688918393</v>
      </c>
      <c r="N415" s="10">
        <f t="shared" si="83"/>
        <v>234.2828300683542</v>
      </c>
      <c r="P415" s="13">
        <f t="shared" si="80"/>
        <v>6.082048467667621</v>
      </c>
      <c r="Q415" s="13">
        <f t="shared" si="81"/>
        <v>0</v>
      </c>
    </row>
    <row r="416" spans="9:17" ht="12.75">
      <c r="I416" s="2">
        <f t="shared" si="79"/>
        <v>5400</v>
      </c>
      <c r="J416" s="13">
        <f t="shared" si="78"/>
        <v>-5.151716210523267</v>
      </c>
      <c r="K416" s="10">
        <f t="shared" si="82"/>
        <v>258.22111132172375</v>
      </c>
      <c r="L416" s="13">
        <f t="shared" si="76"/>
        <v>11.245040128329</v>
      </c>
      <c r="M416" s="10">
        <f t="shared" si="77"/>
        <v>-1.767459871670999</v>
      </c>
      <c r="N416" s="10">
        <f t="shared" si="83"/>
        <v>234.1976165021118</v>
      </c>
      <c r="P416" s="13">
        <f t="shared" si="80"/>
        <v>6.0933239178057335</v>
      </c>
      <c r="Q416" s="13">
        <f t="shared" si="81"/>
        <v>0</v>
      </c>
    </row>
    <row r="417" spans="9:17" ht="12.75">
      <c r="I417" s="2">
        <f t="shared" si="79"/>
        <v>5415</v>
      </c>
      <c r="J417" s="13">
        <f t="shared" si="78"/>
        <v>-5.142713295241309</v>
      </c>
      <c r="K417" s="10">
        <f t="shared" si="82"/>
        <v>258.1408003490863</v>
      </c>
      <c r="L417" s="13">
        <f t="shared" si="76"/>
        <v>11.247284723829587</v>
      </c>
      <c r="M417" s="10">
        <f t="shared" si="77"/>
        <v>-1.7652152761704123</v>
      </c>
      <c r="N417" s="10">
        <f t="shared" si="83"/>
        <v>234.11251025726855</v>
      </c>
      <c r="P417" s="13">
        <f t="shared" si="80"/>
        <v>6.104571428588278</v>
      </c>
      <c r="Q417" s="13">
        <f t="shared" si="81"/>
        <v>0</v>
      </c>
    </row>
    <row r="418" spans="9:17" ht="12.75">
      <c r="I418" s="2">
        <f t="shared" si="79"/>
        <v>5430</v>
      </c>
      <c r="J418" s="13">
        <f t="shared" si="78"/>
        <v>-5.133753279498358</v>
      </c>
      <c r="K418" s="10">
        <f t="shared" si="82"/>
        <v>258.06062972441316</v>
      </c>
      <c r="L418" s="13">
        <f t="shared" si="76"/>
        <v>11.249544422945704</v>
      </c>
      <c r="M418" s="10">
        <f t="shared" si="77"/>
        <v>-1.7629555770542957</v>
      </c>
      <c r="N418" s="10">
        <f t="shared" si="83"/>
        <v>234.02751209357461</v>
      </c>
      <c r="P418" s="13">
        <f t="shared" si="80"/>
        <v>6.115791143447345</v>
      </c>
      <c r="Q418" s="13">
        <f t="shared" si="81"/>
        <v>0</v>
      </c>
    </row>
    <row r="419" spans="9:17" ht="12.75">
      <c r="I419" s="2">
        <f t="shared" si="79"/>
        <v>5445</v>
      </c>
      <c r="J419" s="13">
        <f t="shared" si="78"/>
        <v>-5.124835368589091</v>
      </c>
      <c r="K419" s="10">
        <f t="shared" si="82"/>
        <v>257.9805987789362</v>
      </c>
      <c r="L419" s="13">
        <f t="shared" si="76"/>
        <v>11.251818572214983</v>
      </c>
      <c r="M419" s="10">
        <f t="shared" si="77"/>
        <v>-1.748181427785017</v>
      </c>
      <c r="N419" s="10">
        <f t="shared" si="83"/>
        <v>233.9426227382951</v>
      </c>
      <c r="P419" s="13">
        <f t="shared" si="80"/>
        <v>6.126983203625892</v>
      </c>
      <c r="Q419" s="13">
        <f t="shared" si="81"/>
        <v>0</v>
      </c>
    </row>
    <row r="420" spans="9:17" ht="12.75">
      <c r="I420" s="2">
        <f t="shared" si="79"/>
        <v>5460</v>
      </c>
      <c r="J420" s="13">
        <f t="shared" si="78"/>
        <v>-5.115677051638543</v>
      </c>
      <c r="K420" s="10">
        <f t="shared" si="82"/>
        <v>257.90070685627603</v>
      </c>
      <c r="L420" s="13">
        <f t="shared" si="76"/>
        <v>11.253824799875522</v>
      </c>
      <c r="M420" s="10">
        <f t="shared" si="77"/>
        <v>-1.746175200124478</v>
      </c>
      <c r="N420" s="10">
        <f t="shared" si="83"/>
        <v>233.8584447838147</v>
      </c>
      <c r="P420" s="13">
        <f t="shared" si="80"/>
        <v>6.138147748236979</v>
      </c>
      <c r="Q420" s="13">
        <f t="shared" si="81"/>
        <v>0</v>
      </c>
    </row>
    <row r="421" spans="9:17" ht="12.75">
      <c r="I421" s="2">
        <f t="shared" si="79"/>
        <v>5475</v>
      </c>
      <c r="J421" s="13">
        <f t="shared" si="78"/>
        <v>-5.106568336512577</v>
      </c>
      <c r="K421" s="10">
        <f t="shared" si="82"/>
        <v>257.820957704163</v>
      </c>
      <c r="L421" s="13">
        <f t="shared" si="76"/>
        <v>11.255852637724589</v>
      </c>
      <c r="M421" s="10">
        <f t="shared" si="77"/>
        <v>-1.7441473622754113</v>
      </c>
      <c r="N421" s="10">
        <f t="shared" si="83"/>
        <v>233.77436343266046</v>
      </c>
      <c r="P421" s="13">
        <f t="shared" si="80"/>
        <v>6.1492843012120115</v>
      </c>
      <c r="Q421" s="13">
        <f t="shared" si="81"/>
        <v>0</v>
      </c>
    </row>
    <row r="422" spans="9:17" ht="12.75">
      <c r="I422" s="2">
        <f t="shared" si="79"/>
        <v>5490</v>
      </c>
      <c r="J422" s="13">
        <f t="shared" si="78"/>
        <v>-5.097508218229242</v>
      </c>
      <c r="K422" s="10">
        <f t="shared" si="82"/>
        <v>257.7413505493459</v>
      </c>
      <c r="L422" s="13">
        <f t="shared" si="76"/>
        <v>11.257901236740489</v>
      </c>
      <c r="M422" s="10">
        <f t="shared" si="77"/>
        <v>-1.742098763259511</v>
      </c>
      <c r="N422" s="10">
        <f t="shared" si="83"/>
        <v>233.6903797254003</v>
      </c>
      <c r="P422" s="13">
        <f t="shared" si="80"/>
        <v>6.160393018511247</v>
      </c>
      <c r="Q422" s="13">
        <f t="shared" si="81"/>
        <v>0</v>
      </c>
    </row>
    <row r="423" spans="9:17" ht="12.75">
      <c r="I423" s="2">
        <f t="shared" si="79"/>
        <v>5505</v>
      </c>
      <c r="J423" s="13">
        <f t="shared" si="78"/>
        <v>-5.0884957209019515</v>
      </c>
      <c r="K423" s="10">
        <f t="shared" si="82"/>
        <v>257.6618846342403</v>
      </c>
      <c r="L423" s="13">
        <f t="shared" si="76"/>
        <v>11.259969774371106</v>
      </c>
      <c r="M423" s="10">
        <f t="shared" si="77"/>
        <v>-1.7400302256288942</v>
      </c>
      <c r="N423" s="10">
        <f t="shared" si="83"/>
        <v>233.60649466172023</v>
      </c>
      <c r="P423" s="13">
        <f t="shared" si="80"/>
        <v>6.171474053469154</v>
      </c>
      <c r="Q423" s="13">
        <f t="shared" si="81"/>
        <v>0</v>
      </c>
    </row>
    <row r="424" spans="9:17" ht="12.75">
      <c r="I424" s="2">
        <f t="shared" si="79"/>
        <v>5520</v>
      </c>
      <c r="J424" s="13">
        <f t="shared" si="78"/>
        <v>-5.0795298968574905</v>
      </c>
      <c r="K424" s="10">
        <f t="shared" si="82"/>
        <v>257.5825592164752</v>
      </c>
      <c r="L424" s="13">
        <f t="shared" si="76"/>
        <v>11.262057453725031</v>
      </c>
      <c r="M424" s="10">
        <f t="shared" si="77"/>
        <v>-1.7379425462749687</v>
      </c>
      <c r="N424" s="10">
        <f t="shared" si="83"/>
        <v>233.522709201699</v>
      </c>
      <c r="P424" s="13">
        <f t="shared" si="80"/>
        <v>6.182527556867541</v>
      </c>
      <c r="Q424" s="13">
        <f t="shared" si="81"/>
        <v>0</v>
      </c>
    </row>
    <row r="425" spans="9:17" ht="12.75">
      <c r="I425" s="2">
        <f t="shared" si="79"/>
        <v>5535</v>
      </c>
      <c r="J425" s="13">
        <f t="shared" si="78"/>
        <v>-5.070609825780836</v>
      </c>
      <c r="K425" s="10">
        <f t="shared" si="82"/>
        <v>257.50337356845284</v>
      </c>
      <c r="L425" s="13">
        <f t="shared" si="76"/>
        <v>11.264163502787289</v>
      </c>
      <c r="M425" s="10">
        <f t="shared" si="77"/>
        <v>-1.735836497212711</v>
      </c>
      <c r="N425" s="10">
        <f t="shared" si="83"/>
        <v>233.43902426704364</v>
      </c>
      <c r="P425" s="13">
        <f t="shared" si="80"/>
        <v>6.193553677006453</v>
      </c>
      <c r="Q425" s="13">
        <f t="shared" si="81"/>
        <v>0</v>
      </c>
    </row>
    <row r="426" spans="9:17" ht="12.75">
      <c r="I426" s="2">
        <f t="shared" si="79"/>
        <v>5550</v>
      </c>
      <c r="J426" s="13">
        <f t="shared" si="78"/>
        <v>-5.061734613886159</v>
      </c>
      <c r="K426" s="10">
        <f t="shared" si="82"/>
        <v>257.4243269769225</v>
      </c>
      <c r="L426" s="13">
        <f t="shared" si="76"/>
        <v>11.266287173659011</v>
      </c>
      <c r="M426" s="10">
        <f t="shared" si="77"/>
        <v>-1.733712826340989</v>
      </c>
      <c r="N426" s="10">
        <f t="shared" si="83"/>
        <v>233.35544074228733</v>
      </c>
      <c r="P426" s="13">
        <f t="shared" si="80"/>
        <v>6.204552559772852</v>
      </c>
      <c r="Q426" s="13">
        <f t="shared" si="81"/>
        <v>0</v>
      </c>
    </row>
    <row r="427" spans="9:17" ht="12.75">
      <c r="I427" s="2">
        <f t="shared" si="79"/>
        <v>5565</v>
      </c>
      <c r="J427" s="13">
        <f t="shared" si="78"/>
        <v>-5.052903393113162</v>
      </c>
      <c r="K427" s="10">
        <f t="shared" si="82"/>
        <v>257.34541874256684</v>
      </c>
      <c r="L427" s="13">
        <f t="shared" si="76"/>
        <v>11.268427741820362</v>
      </c>
      <c r="M427" s="10">
        <f t="shared" si="77"/>
        <v>-1.7315722581796376</v>
      </c>
      <c r="N427" s="10">
        <f t="shared" si="83"/>
        <v>233.2719594759506</v>
      </c>
      <c r="P427" s="13">
        <f t="shared" si="80"/>
        <v>6.2155243487072</v>
      </c>
      <c r="Q427" s="13">
        <f t="shared" si="81"/>
        <v>0</v>
      </c>
    </row>
    <row r="428" spans="9:17" ht="12.75">
      <c r="I428" s="2">
        <f t="shared" si="79"/>
        <v>5580</v>
      </c>
      <c r="J428" s="13">
        <f t="shared" si="78"/>
        <v>-5.0441153203477755</v>
      </c>
      <c r="K428" s="10">
        <f t="shared" si="82"/>
        <v>257.26664817960085</v>
      </c>
      <c r="L428" s="13">
        <f aca="true" t="shared" si="84" ref="L428:L491">(K428-N428)/D$12</f>
        <v>11.270584505415773</v>
      </c>
      <c r="M428" s="10">
        <f t="shared" si="77"/>
        <v>-1.7294154945842273</v>
      </c>
      <c r="N428" s="10">
        <f t="shared" si="83"/>
        <v>233.18858128166715</v>
      </c>
      <c r="P428" s="13">
        <f t="shared" si="80"/>
        <v>6.226469185067997</v>
      </c>
      <c r="Q428" s="13">
        <f t="shared" si="81"/>
        <v>0</v>
      </c>
    </row>
    <row r="429" spans="9:17" ht="12.75">
      <c r="I429" s="2">
        <f t="shared" si="79"/>
        <v>5595</v>
      </c>
      <c r="J429" s="13">
        <f t="shared" si="78"/>
        <v>-5.03536957666678</v>
      </c>
      <c r="K429" s="10">
        <f t="shared" si="82"/>
        <v>257.18801461538294</v>
      </c>
      <c r="L429" s="13">
        <f t="shared" si="84"/>
        <v>11.27275678456112</v>
      </c>
      <c r="M429" s="10">
        <f t="shared" si="77"/>
        <v>-1.7272432154388806</v>
      </c>
      <c r="N429" s="10">
        <f t="shared" si="83"/>
        <v>233.1053069392751</v>
      </c>
      <c r="P429" s="13">
        <f t="shared" si="80"/>
        <v>6.237387207894339</v>
      </c>
      <c r="Q429" s="13">
        <f t="shared" si="81"/>
        <v>0</v>
      </c>
    </row>
    <row r="430" spans="9:17" ht="12.75">
      <c r="I430" s="2">
        <f t="shared" si="79"/>
        <v>5610</v>
      </c>
      <c r="J430" s="13">
        <f t="shared" si="78"/>
        <v>-5.0266653666055285</v>
      </c>
      <c r="K430" s="10">
        <f t="shared" si="82"/>
        <v>257.1095173900379</v>
      </c>
      <c r="L430" s="13">
        <f t="shared" si="84"/>
        <v>11.274943920672039</v>
      </c>
      <c r="M430" s="10">
        <f aca="true" t="shared" si="85" ref="M430:M493">L430-VLOOKUP(N430,A$44:C$251,2,TRUE)</f>
        <v>-1.7250560793279615</v>
      </c>
      <c r="N430" s="10">
        <f t="shared" si="83"/>
        <v>233.02213719587493</v>
      </c>
      <c r="P430" s="13">
        <f t="shared" si="80"/>
        <v>6.24827855406651</v>
      </c>
      <c r="Q430" s="13">
        <f t="shared" si="81"/>
        <v>0</v>
      </c>
    </row>
    <row r="431" spans="9:17" ht="12.75">
      <c r="I431" s="2">
        <f t="shared" si="79"/>
        <v>5625</v>
      </c>
      <c r="J431" s="13">
        <f t="shared" si="78"/>
        <v>-5.018001917447757</v>
      </c>
      <c r="K431" s="10">
        <f t="shared" si="82"/>
        <v>257.0311558560911</v>
      </c>
      <c r="L431" s="13">
        <f t="shared" si="84"/>
        <v>11.277145275812549</v>
      </c>
      <c r="M431" s="10">
        <f t="shared" si="85"/>
        <v>-1.9450769464096727</v>
      </c>
      <c r="N431" s="10">
        <f t="shared" si="83"/>
        <v>232.93907276685522</v>
      </c>
      <c r="P431" s="13">
        <f t="shared" si="80"/>
        <v>6.259143358364792</v>
      </c>
      <c r="Q431" s="13">
        <f t="shared" si="81"/>
        <v>0</v>
      </c>
    </row>
    <row r="432" spans="9:17" ht="12.75">
      <c r="I432" s="2">
        <f t="shared" si="79"/>
        <v>5640</v>
      </c>
      <c r="J432" s="13">
        <f t="shared" si="78"/>
        <v>-5.014387168793954</v>
      </c>
      <c r="K432" s="10">
        <f t="shared" si="82"/>
        <v>256.952929378114</v>
      </c>
      <c r="L432" s="13">
        <f t="shared" si="84"/>
        <v>11.284368922320338</v>
      </c>
      <c r="M432" s="10">
        <f t="shared" si="85"/>
        <v>-1.9378532999018834</v>
      </c>
      <c r="N432" s="10">
        <f t="shared" si="83"/>
        <v>232.8454139531569</v>
      </c>
      <c r="P432" s="13">
        <f t="shared" si="80"/>
        <v>6.269981753526384</v>
      </c>
      <c r="Q432" s="13">
        <f t="shared" si="81"/>
        <v>0</v>
      </c>
    </row>
    <row r="433" spans="9:17" ht="12.75">
      <c r="I433" s="2">
        <f t="shared" si="79"/>
        <v>5655</v>
      </c>
      <c r="J433" s="13">
        <f t="shared" si="78"/>
        <v>-5.010651454214766</v>
      </c>
      <c r="K433" s="10">
        <f t="shared" si="82"/>
        <v>256.87475925106315</v>
      </c>
      <c r="L433" s="13">
        <f t="shared" si="84"/>
        <v>11.29145613132199</v>
      </c>
      <c r="M433" s="10">
        <f t="shared" si="85"/>
        <v>-1.9307660909002315</v>
      </c>
      <c r="N433" s="10">
        <f t="shared" si="83"/>
        <v>232.75210297051163</v>
      </c>
      <c r="P433" s="13">
        <f t="shared" si="80"/>
        <v>6.2808046771072235</v>
      </c>
      <c r="Q433" s="13">
        <f t="shared" si="81"/>
        <v>0</v>
      </c>
    </row>
    <row r="434" spans="9:17" ht="12.75">
      <c r="I434" s="2">
        <f t="shared" si="79"/>
        <v>5670</v>
      </c>
      <c r="J434" s="13">
        <f t="shared" si="78"/>
        <v>-5.006798971173505</v>
      </c>
      <c r="K434" s="10">
        <f t="shared" si="82"/>
        <v>256.79664736069674</v>
      </c>
      <c r="L434" s="13">
        <f t="shared" si="84"/>
        <v>11.298410860692242</v>
      </c>
      <c r="M434" s="10">
        <f t="shared" si="85"/>
        <v>-1.92381136152998</v>
      </c>
      <c r="N434" s="10">
        <f t="shared" si="83"/>
        <v>232.65913324921786</v>
      </c>
      <c r="P434" s="13">
        <f t="shared" si="80"/>
        <v>6.2916118895187365</v>
      </c>
      <c r="Q434" s="13">
        <f t="shared" si="81"/>
        <v>0</v>
      </c>
    </row>
    <row r="435" spans="9:17" ht="12.75">
      <c r="I435" s="2">
        <f t="shared" si="79"/>
        <v>5685</v>
      </c>
      <c r="J435" s="13">
        <f t="shared" si="78"/>
        <v>-5.002833787550188</v>
      </c>
      <c r="K435" s="10">
        <f t="shared" si="82"/>
        <v>256.71859552733804</v>
      </c>
      <c r="L435" s="13">
        <f t="shared" si="84"/>
        <v>11.305236948469792</v>
      </c>
      <c r="M435" s="10">
        <f t="shared" si="85"/>
        <v>-1.916985273752429</v>
      </c>
      <c r="N435" s="10">
        <f t="shared" si="83"/>
        <v>232.56649841015258</v>
      </c>
      <c r="P435" s="13">
        <f t="shared" si="80"/>
        <v>6.302403160919605</v>
      </c>
      <c r="Q435" s="13">
        <f t="shared" si="81"/>
        <v>0</v>
      </c>
    </row>
    <row r="436" spans="9:17" ht="12.75">
      <c r="I436" s="2">
        <f t="shared" si="79"/>
        <v>5700</v>
      </c>
      <c r="J436" s="13">
        <f t="shared" si="78"/>
        <v>-4.998759845601363</v>
      </c>
      <c r="K436" s="10">
        <f t="shared" si="82"/>
        <v>256.6406055078954</v>
      </c>
      <c r="L436" s="13">
        <f t="shared" si="84"/>
        <v>11.311938116503763</v>
      </c>
      <c r="M436" s="10">
        <f t="shared" si="85"/>
        <v>-1.9102841057184587</v>
      </c>
      <c r="N436" s="10">
        <f t="shared" si="83"/>
        <v>232.47419225900097</v>
      </c>
      <c r="P436" s="13">
        <f t="shared" si="80"/>
        <v>6.3131782709024</v>
      </c>
      <c r="Q436" s="13">
        <f t="shared" si="81"/>
        <v>0</v>
      </c>
    </row>
    <row r="437" spans="9:17" ht="12.75">
      <c r="I437" s="2">
        <f t="shared" si="79"/>
        <v>5715</v>
      </c>
      <c r="J437" s="13">
        <f t="shared" si="78"/>
        <v>-4.994580965799377</v>
      </c>
      <c r="K437" s="10">
        <f t="shared" si="82"/>
        <v>256.5626789978207</v>
      </c>
      <c r="L437" s="13">
        <f t="shared" si="84"/>
        <v>11.318517973989325</v>
      </c>
      <c r="M437" s="10">
        <f t="shared" si="85"/>
        <v>-1.9037042482328967</v>
      </c>
      <c r="N437" s="10">
        <f t="shared" si="83"/>
        <v>232.38220878066167</v>
      </c>
      <c r="P437" s="13">
        <f t="shared" si="80"/>
        <v>6.323937008189947</v>
      </c>
      <c r="Q437" s="13">
        <f t="shared" si="81"/>
        <v>0</v>
      </c>
    </row>
    <row r="438" spans="9:17" ht="12.75">
      <c r="I438" s="2">
        <f t="shared" si="79"/>
        <v>5730</v>
      </c>
      <c r="J438" s="13">
        <f t="shared" si="78"/>
        <v>-4.990300850554068</v>
      </c>
      <c r="K438" s="10">
        <f t="shared" si="82"/>
        <v>256.4848176330078</v>
      </c>
      <c r="L438" s="13">
        <f t="shared" si="84"/>
        <v>11.324980020895351</v>
      </c>
      <c r="M438" s="10">
        <f t="shared" si="85"/>
        <v>-1.8972422013268702</v>
      </c>
      <c r="N438" s="10">
        <f t="shared" si="83"/>
        <v>232.2905421338223</v>
      </c>
      <c r="P438" s="13">
        <f t="shared" si="80"/>
        <v>6.334679170341284</v>
      </c>
      <c r="Q438" s="13">
        <f t="shared" si="81"/>
        <v>0</v>
      </c>
    </row>
    <row r="439" spans="9:17" ht="12.75">
      <c r="I439" s="2">
        <f t="shared" si="79"/>
        <v>5745</v>
      </c>
      <c r="J439" s="13">
        <f t="shared" si="78"/>
        <v>-4.985923087821157</v>
      </c>
      <c r="K439" s="10">
        <f t="shared" si="82"/>
        <v>256.4070229916332</v>
      </c>
      <c r="L439" s="13">
        <f t="shared" si="84"/>
        <v>11.33132765128787</v>
      </c>
      <c r="M439" s="10">
        <f t="shared" si="85"/>
        <v>-1.8908945709343516</v>
      </c>
      <c r="N439" s="10">
        <f t="shared" si="83"/>
        <v>232.19918664570002</v>
      </c>
      <c r="P439" s="13">
        <f t="shared" si="80"/>
        <v>6.345404563466713</v>
      </c>
      <c r="Q439" s="13">
        <f t="shared" si="81"/>
        <v>0</v>
      </c>
    </row>
    <row r="440" spans="9:17" ht="12.75">
      <c r="I440" s="2">
        <f t="shared" si="79"/>
        <v>5760</v>
      </c>
      <c r="J440" s="13">
        <f aca="true" t="shared" si="86" ref="J440:J503">(D$7-K440)*(1/D$13+1/D$14)+D$16*(D$19*D$21*D$17+D$20*D$22*D$18)*(D$7^4-K440^4)-(K440-N440)/D$12</f>
        <v>-4.981451154600298</v>
      </c>
      <c r="K440" s="10">
        <f t="shared" si="82"/>
        <v>256.3292965959399</v>
      </c>
      <c r="L440" s="13">
        <f t="shared" si="84"/>
        <v>11.33756415655216</v>
      </c>
      <c r="M440" s="10">
        <f t="shared" si="85"/>
        <v>-1.8846580656700613</v>
      </c>
      <c r="N440" s="10">
        <f t="shared" si="83"/>
        <v>232.10813680694213</v>
      </c>
      <c r="P440" s="13">
        <f t="shared" si="80"/>
        <v>6.356113001951862</v>
      </c>
      <c r="Q440" s="13">
        <f t="shared" si="81"/>
        <v>0</v>
      </c>
    </row>
    <row r="441" spans="9:17" ht="12.75">
      <c r="I441" s="2">
        <f aca="true" t="shared" si="87" ref="I441:I504">I440+I$41</f>
        <v>5775</v>
      </c>
      <c r="J441" s="13">
        <f t="shared" si="86"/>
        <v>-4.976888420326466</v>
      </c>
      <c r="K441" s="10">
        <f t="shared" si="82"/>
        <v>256.25163991396767</v>
      </c>
      <c r="L441" s="13">
        <f t="shared" si="84"/>
        <v>11.343692728516778</v>
      </c>
      <c r="M441" s="10">
        <f t="shared" si="85"/>
        <v>-1.878529493705443</v>
      </c>
      <c r="N441" s="10">
        <f t="shared" si="83"/>
        <v>232.01738726668182</v>
      </c>
      <c r="P441" s="13">
        <f aca="true" t="shared" si="88" ref="P441:P504">(D$7-K441)*(1/D$13+1/D$14)+D$16*(D$19*D$21*D$17+D$20*D$22*D$18)*(D$7^4-K441^4)</f>
        <v>6.3668043081903125</v>
      </c>
      <c r="Q441" s="13">
        <f aca="true" t="shared" si="89" ref="Q441:Q504">IF(K441=D$8,-J441,0)</f>
        <v>0</v>
      </c>
    </row>
    <row r="442" spans="9:17" ht="12.75">
      <c r="I442" s="2">
        <f t="shared" si="87"/>
        <v>5790</v>
      </c>
      <c r="J442" s="13">
        <f t="shared" si="86"/>
        <v>-4.972238150157667</v>
      </c>
      <c r="K442" s="10">
        <f t="shared" si="82"/>
        <v>256.1740543612293</v>
      </c>
      <c r="L442" s="13">
        <f t="shared" si="84"/>
        <v>11.349716462482327</v>
      </c>
      <c r="M442" s="10">
        <f t="shared" si="85"/>
        <v>-2.0947279819621176</v>
      </c>
      <c r="N442" s="10">
        <f t="shared" si="83"/>
        <v>231.92693282774434</v>
      </c>
      <c r="P442" s="13">
        <f t="shared" si="88"/>
        <v>6.37747831232466</v>
      </c>
      <c r="Q442" s="13">
        <f t="shared" si="89"/>
        <v>0</v>
      </c>
    </row>
    <row r="443" spans="9:17" ht="12.75">
      <c r="I443" s="2">
        <f t="shared" si="87"/>
        <v>5805</v>
      </c>
      <c r="J443" s="13">
        <f t="shared" si="86"/>
        <v>-4.972512198418997</v>
      </c>
      <c r="K443" s="10">
        <f t="shared" si="82"/>
        <v>256.09654130233673</v>
      </c>
      <c r="L443" s="13">
        <f t="shared" si="84"/>
        <v>11.360647050414636</v>
      </c>
      <c r="M443" s="10">
        <f t="shared" si="85"/>
        <v>-2.0837973940298085</v>
      </c>
      <c r="N443" s="10">
        <f t="shared" si="83"/>
        <v>231.8260680582691</v>
      </c>
      <c r="P443" s="13">
        <f t="shared" si="88"/>
        <v>6.388134851995639</v>
      </c>
      <c r="Q443" s="13">
        <f t="shared" si="89"/>
        <v>0</v>
      </c>
    </row>
    <row r="444" spans="9:17" ht="12.75">
      <c r="I444" s="2">
        <f t="shared" si="87"/>
        <v>5820</v>
      </c>
      <c r="J444" s="13">
        <f t="shared" si="86"/>
        <v>-4.972544777457756</v>
      </c>
      <c r="K444" s="10">
        <f t="shared" si="82"/>
        <v>256.01902397125957</v>
      </c>
      <c r="L444" s="13">
        <f t="shared" si="84"/>
        <v>11.371329272919246</v>
      </c>
      <c r="M444" s="10">
        <f t="shared" si="85"/>
        <v>-2.073115171525199</v>
      </c>
      <c r="N444" s="10">
        <f t="shared" si="83"/>
        <v>231.72572961547755</v>
      </c>
      <c r="P444" s="13">
        <f t="shared" si="88"/>
        <v>6.39878449546149</v>
      </c>
      <c r="Q444" s="13">
        <f t="shared" si="89"/>
        <v>0</v>
      </c>
    </row>
    <row r="445" spans="9:17" ht="12.75">
      <c r="I445" s="2">
        <f t="shared" si="87"/>
        <v>5835</v>
      </c>
      <c r="J445" s="13">
        <f t="shared" si="86"/>
        <v>-4.9723437605412855</v>
      </c>
      <c r="K445" s="10">
        <f t="shared" si="82"/>
        <v>255.9415061323023</v>
      </c>
      <c r="L445" s="13">
        <f t="shared" si="84"/>
        <v>11.38177048994573</v>
      </c>
      <c r="M445" s="10">
        <f t="shared" si="85"/>
        <v>-2.062673954498715</v>
      </c>
      <c r="N445" s="10">
        <f t="shared" si="83"/>
        <v>231.6259055401455</v>
      </c>
      <c r="P445" s="13">
        <f t="shared" si="88"/>
        <v>6.409426729404444</v>
      </c>
      <c r="Q445" s="13">
        <f t="shared" si="89"/>
        <v>0</v>
      </c>
    </row>
    <row r="446" spans="9:17" ht="12.75">
      <c r="I446" s="2">
        <f t="shared" si="87"/>
        <v>5850</v>
      </c>
      <c r="J446" s="13">
        <f t="shared" si="86"/>
        <v>-4.971916779314385</v>
      </c>
      <c r="K446" s="10">
        <f t="shared" si="82"/>
        <v>255.86399142703164</v>
      </c>
      <c r="L446" s="13">
        <f t="shared" si="84"/>
        <v>11.391977838105314</v>
      </c>
      <c r="M446" s="10">
        <f t="shared" si="85"/>
        <v>-2.052466606339131</v>
      </c>
      <c r="N446" s="10">
        <f t="shared" si="83"/>
        <v>231.526584227443</v>
      </c>
      <c r="P446" s="13">
        <f t="shared" si="88"/>
        <v>6.420061058790929</v>
      </c>
      <c r="Q446" s="13">
        <f t="shared" si="89"/>
        <v>0</v>
      </c>
    </row>
    <row r="447" spans="9:17" ht="12.75">
      <c r="I447" s="2">
        <f t="shared" si="87"/>
        <v>5865</v>
      </c>
      <c r="J447" s="13">
        <f t="shared" si="86"/>
        <v>-4.971271231173809</v>
      </c>
      <c r="K447" s="10">
        <f t="shared" si="82"/>
        <v>255.7864833780433</v>
      </c>
      <c r="L447" s="13">
        <f t="shared" si="84"/>
        <v>11.401958237467785</v>
      </c>
      <c r="M447" s="10">
        <f t="shared" si="85"/>
        <v>-2.04248620697666</v>
      </c>
      <c r="N447" s="10">
        <f t="shared" si="83"/>
        <v>231.4277544161803</v>
      </c>
      <c r="P447" s="13">
        <f t="shared" si="88"/>
        <v>6.430687006293976</v>
      </c>
      <c r="Q447" s="13">
        <f t="shared" si="89"/>
        <v>0</v>
      </c>
    </row>
    <row r="448" spans="9:17" ht="12.75">
      <c r="I448" s="2">
        <f t="shared" si="87"/>
        <v>5880</v>
      </c>
      <c r="J448" s="13">
        <f t="shared" si="86"/>
        <v>-4.970414286418082</v>
      </c>
      <c r="K448" s="10">
        <f t="shared" si="82"/>
        <v>255.70898539261378</v>
      </c>
      <c r="L448" s="13">
        <f t="shared" si="84"/>
        <v>11.411718398151573</v>
      </c>
      <c r="M448" s="10">
        <f t="shared" si="85"/>
        <v>-2.032726046292872</v>
      </c>
      <c r="N448" s="10">
        <f t="shared" si="83"/>
        <v>231.32940517838088</v>
      </c>
      <c r="P448" s="13">
        <f t="shared" si="88"/>
        <v>6.441304111733491</v>
      </c>
      <c r="Q448" s="13">
        <f t="shared" si="89"/>
        <v>0</v>
      </c>
    </row>
    <row r="449" spans="9:17" ht="12.75">
      <c r="I449" s="2">
        <f t="shared" si="87"/>
        <v>5895</v>
      </c>
      <c r="J449" s="13">
        <f t="shared" si="86"/>
        <v>-4.969352895179005</v>
      </c>
      <c r="K449" s="10">
        <f t="shared" si="82"/>
        <v>255.63150076624055</v>
      </c>
      <c r="L449" s="13">
        <f t="shared" si="84"/>
        <v>11.421264826712896</v>
      </c>
      <c r="M449" s="10">
        <f t="shared" si="85"/>
        <v>-2.0231796177315484</v>
      </c>
      <c r="N449" s="10">
        <f t="shared" si="83"/>
        <v>231.2315259091721</v>
      </c>
      <c r="P449" s="13">
        <f t="shared" si="88"/>
        <v>6.451911931533891</v>
      </c>
      <c r="Q449" s="13">
        <f t="shared" si="89"/>
        <v>0</v>
      </c>
    </row>
    <row r="450" spans="9:17" ht="12.75">
      <c r="I450" s="2">
        <f t="shared" si="87"/>
        <v>5910</v>
      </c>
      <c r="J450" s="13">
        <f t="shared" si="86"/>
        <v>-4.96809379414202</v>
      </c>
      <c r="K450" s="10">
        <f t="shared" si="82"/>
        <v>255.5540326860743</v>
      </c>
      <c r="L450" s="13">
        <f t="shared" si="84"/>
        <v>11.430603832340536</v>
      </c>
      <c r="M450" s="10">
        <f t="shared" si="85"/>
        <v>-2.013840612103909</v>
      </c>
      <c r="N450" s="10">
        <f t="shared" si="83"/>
        <v>231.13410631698315</v>
      </c>
      <c r="P450" s="13">
        <f t="shared" si="88"/>
        <v>6.462510038198515</v>
      </c>
      <c r="Q450" s="13">
        <f t="shared" si="89"/>
        <v>0</v>
      </c>
    </row>
    <row r="451" spans="9:17" ht="12.75">
      <c r="I451" s="2">
        <f t="shared" si="87"/>
        <v>5925</v>
      </c>
      <c r="J451" s="13">
        <f t="shared" si="86"/>
        <v>-4.966643513061459</v>
      </c>
      <c r="K451" s="10">
        <f t="shared" si="82"/>
        <v>255.47658423424642</v>
      </c>
      <c r="L451" s="13">
        <f t="shared" si="84"/>
        <v>11.439741532861811</v>
      </c>
      <c r="M451" s="10">
        <f t="shared" si="85"/>
        <v>-2.0047029115826334</v>
      </c>
      <c r="N451" s="10">
        <f t="shared" si="83"/>
        <v>231.03713641404164</v>
      </c>
      <c r="P451" s="13">
        <f t="shared" si="88"/>
        <v>6.473098019800353</v>
      </c>
      <c r="Q451" s="13">
        <f t="shared" si="89"/>
        <v>0</v>
      </c>
    </row>
    <row r="452" spans="9:17" ht="12.75">
      <c r="I452" s="2">
        <f t="shared" si="87"/>
        <v>5940</v>
      </c>
      <c r="J452" s="13">
        <f t="shared" si="86"/>
        <v>-4.965008381077137</v>
      </c>
      <c r="K452" s="10">
        <f t="shared" si="82"/>
        <v>255.39915839109483</v>
      </c>
      <c r="L452" s="13">
        <f t="shared" si="84"/>
        <v>11.44868386056568</v>
      </c>
      <c r="M452" s="10">
        <f t="shared" si="85"/>
        <v>-2.217982806100986</v>
      </c>
      <c r="N452" s="10">
        <f t="shared" si="83"/>
        <v>230.94060650715906</v>
      </c>
      <c r="P452" s="13">
        <f t="shared" si="88"/>
        <v>6.483675479488543</v>
      </c>
      <c r="Q452" s="13">
        <f t="shared" si="89"/>
        <v>0</v>
      </c>
    </row>
    <row r="453" spans="9:17" ht="12.75">
      <c r="I453" s="2">
        <f t="shared" si="87"/>
        <v>5955</v>
      </c>
      <c r="J453" s="13">
        <f t="shared" si="86"/>
        <v>-4.9682032230948465</v>
      </c>
      <c r="K453" s="10">
        <f t="shared" si="82"/>
        <v>255.32175803829145</v>
      </c>
      <c r="L453" s="13">
        <f t="shared" si="84"/>
        <v>11.462445258105056</v>
      </c>
      <c r="M453" s="10">
        <f t="shared" si="85"/>
        <v>-2.20422140856161</v>
      </c>
      <c r="N453" s="10">
        <f t="shared" si="83"/>
        <v>230.833806805067</v>
      </c>
      <c r="P453" s="13">
        <f t="shared" si="88"/>
        <v>6.49424203501021</v>
      </c>
      <c r="Q453" s="13">
        <f t="shared" si="89"/>
        <v>0</v>
      </c>
    </row>
    <row r="454" spans="9:17" ht="12.75">
      <c r="I454" s="2">
        <f t="shared" si="87"/>
        <v>5970</v>
      </c>
      <c r="J454" s="13">
        <f t="shared" si="86"/>
        <v>-4.971065206552999</v>
      </c>
      <c r="K454" s="10">
        <f t="shared" si="82"/>
        <v>255.24430788055716</v>
      </c>
      <c r="L454" s="13">
        <f t="shared" si="84"/>
        <v>11.475873173098078</v>
      </c>
      <c r="M454" s="10">
        <f t="shared" si="85"/>
        <v>-2.190793493568588</v>
      </c>
      <c r="N454" s="10">
        <f t="shared" si="83"/>
        <v>230.72766973802945</v>
      </c>
      <c r="P454" s="13">
        <f t="shared" si="88"/>
        <v>6.504807966545079</v>
      </c>
      <c r="Q454" s="13">
        <f t="shared" si="89"/>
        <v>0</v>
      </c>
    </row>
    <row r="455" spans="9:17" ht="12.75">
      <c r="I455" s="2">
        <f t="shared" si="87"/>
        <v>5985</v>
      </c>
      <c r="J455" s="13">
        <f t="shared" si="86"/>
        <v>-4.973604993702784</v>
      </c>
      <c r="K455" s="10">
        <f t="shared" si="82"/>
        <v>255.1668131068802</v>
      </c>
      <c r="L455" s="13">
        <f t="shared" si="84"/>
        <v>11.488977550831374</v>
      </c>
      <c r="M455" s="10">
        <f t="shared" si="85"/>
        <v>-2.1776891158352925</v>
      </c>
      <c r="N455" s="10">
        <f t="shared" si="83"/>
        <v>230.6221792482859</v>
      </c>
      <c r="P455" s="13">
        <f t="shared" si="88"/>
        <v>6.51537255712859</v>
      </c>
      <c r="Q455" s="13">
        <f t="shared" si="89"/>
        <v>0</v>
      </c>
    </row>
    <row r="456" spans="9:17" ht="12.75">
      <c r="I456" s="2">
        <f t="shared" si="87"/>
        <v>6000</v>
      </c>
      <c r="J456" s="13">
        <f t="shared" si="86"/>
        <v>-4.9758329202025475</v>
      </c>
      <c r="K456" s="10">
        <f t="shared" si="82"/>
        <v>255.0892787400331</v>
      </c>
      <c r="L456" s="13">
        <f t="shared" si="84"/>
        <v>11.501768034630588</v>
      </c>
      <c r="M456" s="10">
        <f t="shared" si="85"/>
        <v>-2.1648986320360777</v>
      </c>
      <c r="N456" s="10">
        <f t="shared" si="83"/>
        <v>230.51731975695867</v>
      </c>
      <c r="P456" s="13">
        <f t="shared" si="88"/>
        <v>6.525935114428041</v>
      </c>
      <c r="Q456" s="13">
        <f t="shared" si="89"/>
        <v>0</v>
      </c>
    </row>
    <row r="457" spans="9:17" ht="12.75">
      <c r="I457" s="2">
        <f t="shared" si="87"/>
        <v>6015</v>
      </c>
      <c r="J457" s="13">
        <f t="shared" si="86"/>
        <v>-4.977759005079813</v>
      </c>
      <c r="K457" s="10">
        <f t="shared" si="82"/>
        <v>255.01170964166417</v>
      </c>
      <c r="L457" s="13">
        <f t="shared" si="84"/>
        <v>11.514253975049595</v>
      </c>
      <c r="M457" s="10">
        <f t="shared" si="85"/>
        <v>-2.152412691617071</v>
      </c>
      <c r="N457" s="10">
        <f t="shared" si="83"/>
        <v>230.41307614951276</v>
      </c>
      <c r="P457" s="13">
        <f t="shared" si="88"/>
        <v>6.536494969969782</v>
      </c>
      <c r="Q457" s="13">
        <f t="shared" si="89"/>
        <v>0</v>
      </c>
    </row>
    <row r="458" spans="9:17" ht="12.75">
      <c r="I458" s="2">
        <f t="shared" si="87"/>
        <v>6030</v>
      </c>
      <c r="J458" s="13">
        <f t="shared" si="86"/>
        <v>-4.979392960389504</v>
      </c>
      <c r="K458" s="10">
        <f t="shared" si="82"/>
        <v>254.93411051723334</v>
      </c>
      <c r="L458" s="13">
        <f t="shared" si="84"/>
        <v>11.526444438779679</v>
      </c>
      <c r="M458" s="10">
        <f t="shared" si="85"/>
        <v>-2.140222227886987</v>
      </c>
      <c r="N458" s="10">
        <f t="shared" si="83"/>
        <v>230.30943376165857</v>
      </c>
      <c r="P458" s="13">
        <f t="shared" si="88"/>
        <v>6.547051478390175</v>
      </c>
      <c r="Q458" s="13">
        <f t="shared" si="89"/>
        <v>0</v>
      </c>
    </row>
    <row r="459" spans="9:17" ht="12.75">
      <c r="I459" s="2">
        <f t="shared" si="87"/>
        <v>6045</v>
      </c>
      <c r="J459" s="13">
        <f t="shared" si="86"/>
        <v>-4.980744200578003</v>
      </c>
      <c r="K459" s="10">
        <f t="shared" si="82"/>
        <v>254.85648592079767</v>
      </c>
      <c r="L459" s="13">
        <f t="shared" si="84"/>
        <v>11.538348217287593</v>
      </c>
      <c r="M459" s="10">
        <f t="shared" si="85"/>
        <v>-2.1283184493790728</v>
      </c>
      <c r="N459" s="10">
        <f t="shared" si="83"/>
        <v>230.20637836568326</v>
      </c>
      <c r="P459" s="13">
        <f t="shared" si="88"/>
        <v>6.557604016709591</v>
      </c>
      <c r="Q459" s="13">
        <f t="shared" si="89"/>
        <v>0</v>
      </c>
    </row>
    <row r="460" spans="9:17" ht="12.75">
      <c r="I460" s="2">
        <f t="shared" si="87"/>
        <v>6060</v>
      </c>
      <c r="J460" s="13">
        <f t="shared" si="86"/>
        <v>-4.9818218515617625</v>
      </c>
      <c r="K460" s="10">
        <f t="shared" si="82"/>
        <v>254.77884025965088</v>
      </c>
      <c r="L460" s="13">
        <f t="shared" si="84"/>
        <v>11.549973835190526</v>
      </c>
      <c r="M460" s="10">
        <f t="shared" si="85"/>
        <v>-2.11669283147614</v>
      </c>
      <c r="N460" s="10">
        <f t="shared" si="83"/>
        <v>230.1038961571984</v>
      </c>
      <c r="P460" s="13">
        <f t="shared" si="88"/>
        <v>6.568151983628764</v>
      </c>
      <c r="Q460" s="13">
        <f t="shared" si="89"/>
        <v>0</v>
      </c>
    </row>
    <row r="461" spans="9:17" ht="12.75">
      <c r="I461" s="2">
        <f t="shared" si="87"/>
        <v>6075</v>
      </c>
      <c r="J461" s="13">
        <f t="shared" si="86"/>
        <v>-4.982634759529246</v>
      </c>
      <c r="K461" s="10">
        <f t="shared" si="82"/>
        <v>254.7011777988212</v>
      </c>
      <c r="L461" s="13">
        <f t="shared" si="84"/>
        <v>11.561329558376075</v>
      </c>
      <c r="M461" s="10">
        <f t="shared" si="85"/>
        <v>-2.105337108290591</v>
      </c>
      <c r="N461" s="10">
        <f t="shared" si="83"/>
        <v>230.0019737422905</v>
      </c>
      <c r="P461" s="13">
        <f t="shared" si="88"/>
        <v>6.578694798846829</v>
      </c>
      <c r="Q461" s="13">
        <f t="shared" si="89"/>
        <v>0</v>
      </c>
    </row>
    <row r="462" spans="9:17" ht="12.75">
      <c r="I462" s="2">
        <f t="shared" si="87"/>
        <v>6090</v>
      </c>
      <c r="J462" s="13">
        <f t="shared" si="86"/>
        <v>-4.983191499474618</v>
      </c>
      <c r="K462" s="10">
        <f t="shared" si="82"/>
        <v>254.62350266543214</v>
      </c>
      <c r="L462" s="13">
        <f t="shared" si="84"/>
        <v>11.572423401874985</v>
      </c>
      <c r="M462" s="10">
        <f t="shared" si="85"/>
        <v>-2.316465487013904</v>
      </c>
      <c r="N462" s="10">
        <f t="shared" si="83"/>
        <v>229.90059812506286</v>
      </c>
      <c r="P462" s="13">
        <f t="shared" si="88"/>
        <v>6.589231902400368</v>
      </c>
      <c r="Q462" s="13">
        <f t="shared" si="89"/>
        <v>0</v>
      </c>
    </row>
    <row r="463" spans="9:17" ht="12.75">
      <c r="I463" s="2">
        <f t="shared" si="87"/>
        <v>6105</v>
      </c>
      <c r="J463" s="13">
        <f t="shared" si="86"/>
        <v>-4.988509073727809</v>
      </c>
      <c r="K463" s="10">
        <f aca="true" t="shared" si="90" ref="K463:K526">MAX(D$8,K462+J462*I$41/VLOOKUP(K462,E$44:G$251,3,TRUE))</f>
        <v>254.5458188529302</v>
      </c>
      <c r="L463" s="13">
        <f t="shared" si="84"/>
        <v>11.588271827750688</v>
      </c>
      <c r="M463" s="10">
        <f t="shared" si="85"/>
        <v>-2.300617061138201</v>
      </c>
      <c r="N463" s="10">
        <f aca="true" t="shared" si="91" ref="N463:N526">N462+M462*I$41/VLOOKUP(N462,A$44:C$251,3,TRUE)</f>
        <v>229.78905631182647</v>
      </c>
      <c r="P463" s="13">
        <f t="shared" si="88"/>
        <v>6.599762754022879</v>
      </c>
      <c r="Q463" s="13">
        <f t="shared" si="89"/>
        <v>0</v>
      </c>
    </row>
    <row r="464" spans="9:17" ht="12.75">
      <c r="I464" s="2">
        <f t="shared" si="87"/>
        <v>6120</v>
      </c>
      <c r="J464" s="13">
        <f t="shared" si="86"/>
        <v>-4.9934268355633</v>
      </c>
      <c r="K464" s="10">
        <f t="shared" si="90"/>
        <v>254.46805214386663</v>
      </c>
      <c r="L464" s="13">
        <f t="shared" si="84"/>
        <v>11.603724241627313</v>
      </c>
      <c r="M464" s="10">
        <f t="shared" si="85"/>
        <v>-2.285164647261576</v>
      </c>
      <c r="N464" s="10">
        <f t="shared" si="91"/>
        <v>229.67827762766282</v>
      </c>
      <c r="P464" s="13">
        <f t="shared" si="88"/>
        <v>6.610297406064014</v>
      </c>
      <c r="Q464" s="13">
        <f t="shared" si="89"/>
        <v>0</v>
      </c>
    </row>
    <row r="465" spans="9:17" ht="12.75">
      <c r="I465" s="2">
        <f t="shared" si="87"/>
        <v>6135</v>
      </c>
      <c r="J465" s="13">
        <f t="shared" si="86"/>
        <v>-4.997957490857133</v>
      </c>
      <c r="K465" s="10">
        <f t="shared" si="90"/>
        <v>254.39020877098463</v>
      </c>
      <c r="L465" s="13">
        <f t="shared" si="84"/>
        <v>11.61879248671564</v>
      </c>
      <c r="M465" s="10">
        <f t="shared" si="85"/>
        <v>-2.27009640217325</v>
      </c>
      <c r="N465" s="10">
        <f t="shared" si="91"/>
        <v>229.5682430039103</v>
      </c>
      <c r="P465" s="13">
        <f t="shared" si="88"/>
        <v>6.620834995858506</v>
      </c>
      <c r="Q465" s="13">
        <f t="shared" si="89"/>
        <v>0</v>
      </c>
    </row>
    <row r="466" spans="9:17" ht="12.75">
      <c r="I466" s="2">
        <f t="shared" si="87"/>
        <v>6150</v>
      </c>
      <c r="J466" s="13">
        <f t="shared" si="86"/>
        <v>-5.002113356660724</v>
      </c>
      <c r="K466" s="10">
        <f t="shared" si="90"/>
        <v>254.31229476895334</v>
      </c>
      <c r="L466" s="13">
        <f t="shared" si="84"/>
        <v>11.633488046575494</v>
      </c>
      <c r="M466" s="10">
        <f t="shared" si="85"/>
        <v>-2.2554008423133958</v>
      </c>
      <c r="N466" s="10">
        <f t="shared" si="91"/>
        <v>229.45893394217842</v>
      </c>
      <c r="P466" s="13">
        <f t="shared" si="88"/>
        <v>6.63137468991477</v>
      </c>
      <c r="Q466" s="13">
        <f t="shared" si="89"/>
        <v>0</v>
      </c>
    </row>
    <row r="467" spans="9:17" ht="12.75">
      <c r="I467" s="2">
        <f t="shared" si="87"/>
        <v>6165</v>
      </c>
      <c r="J467" s="13">
        <f t="shared" si="86"/>
        <v>-5.005906373056282</v>
      </c>
      <c r="K467" s="10">
        <f t="shared" si="90"/>
        <v>254.2343159804293</v>
      </c>
      <c r="L467" s="13">
        <f t="shared" si="84"/>
        <v>11.647822056059317</v>
      </c>
      <c r="M467" s="10">
        <f t="shared" si="85"/>
        <v>-2.2410668328295724</v>
      </c>
      <c r="N467" s="10">
        <f t="shared" si="91"/>
        <v>229.35033249702985</v>
      </c>
      <c r="P467" s="13">
        <f t="shared" si="88"/>
        <v>6.641915683003035</v>
      </c>
      <c r="Q467" s="13">
        <f t="shared" si="89"/>
        <v>0</v>
      </c>
    </row>
    <row r="468" spans="9:17" ht="12.75">
      <c r="I468" s="2">
        <f t="shared" si="87"/>
        <v>6180</v>
      </c>
      <c r="J468" s="13">
        <f t="shared" si="86"/>
        <v>-5.00934811465109</v>
      </c>
      <c r="K468" s="10">
        <f t="shared" si="90"/>
        <v>254.15627806193314</v>
      </c>
      <c r="L468" s="13">
        <f t="shared" si="84"/>
        <v>11.661805311922468</v>
      </c>
      <c r="M468" s="10">
        <f t="shared" si="85"/>
        <v>-2.2270835769664217</v>
      </c>
      <c r="N468" s="10">
        <f t="shared" si="91"/>
        <v>229.24242125918968</v>
      </c>
      <c r="P468" s="13">
        <f t="shared" si="88"/>
        <v>6.652457197271378</v>
      </c>
      <c r="Q468" s="13">
        <f t="shared" si="89"/>
        <v>0</v>
      </c>
    </row>
    <row r="469" spans="9:17" ht="12.75">
      <c r="I469" s="2">
        <f t="shared" si="87"/>
        <v>6195</v>
      </c>
      <c r="J469" s="13">
        <f t="shared" si="86"/>
        <v>-5.01244980172167</v>
      </c>
      <c r="K469" s="10">
        <f t="shared" si="90"/>
        <v>254.07818648954694</v>
      </c>
      <c r="L469" s="13">
        <f t="shared" si="84"/>
        <v>11.675448283110516</v>
      </c>
      <c r="M469" s="10">
        <f t="shared" si="85"/>
        <v>-2.2134406057783735</v>
      </c>
      <c r="N469" s="10">
        <f t="shared" si="91"/>
        <v>229.13518333926538</v>
      </c>
      <c r="P469" s="13">
        <f t="shared" si="88"/>
        <v>6.662998481388846</v>
      </c>
      <c r="Q469" s="13">
        <f t="shared" si="89"/>
        <v>0</v>
      </c>
    </row>
    <row r="470" spans="9:17" ht="12.75">
      <c r="I470" s="2">
        <f t="shared" si="87"/>
        <v>6210</v>
      </c>
      <c r="J470" s="13">
        <f t="shared" si="86"/>
        <v>-5.01522231101849</v>
      </c>
      <c r="K470" s="10">
        <f t="shared" si="90"/>
        <v>254.000046564438</v>
      </c>
      <c r="L470" s="13">
        <f t="shared" si="84"/>
        <v>11.688761120733329</v>
      </c>
      <c r="M470" s="10">
        <f t="shared" si="85"/>
        <v>-2.2001277681555607</v>
      </c>
      <c r="N470" s="10">
        <f t="shared" si="91"/>
        <v>229.02860235196226</v>
      </c>
      <c r="P470" s="13">
        <f t="shared" si="88"/>
        <v>6.673538809714839</v>
      </c>
      <c r="Q470" s="13">
        <f t="shared" si="89"/>
        <v>0</v>
      </c>
    </row>
    <row r="471" spans="9:17" ht="12.75">
      <c r="I471" s="2">
        <f t="shared" si="87"/>
        <v>6225</v>
      </c>
      <c r="J471" s="13">
        <f t="shared" si="86"/>
        <v>-5.017676186241641</v>
      </c>
      <c r="K471" s="10">
        <f t="shared" si="90"/>
        <v>253.9218634182142</v>
      </c>
      <c r="L471" s="13">
        <f t="shared" si="84"/>
        <v>11.701753667735591</v>
      </c>
      <c r="M471" s="10">
        <f t="shared" si="85"/>
        <v>-2.4093574433755194</v>
      </c>
      <c r="N471" s="10">
        <f t="shared" si="91"/>
        <v>228.92266240077907</v>
      </c>
      <c r="P471" s="13">
        <f t="shared" si="88"/>
        <v>6.684077481493951</v>
      </c>
      <c r="Q471" s="13">
        <f t="shared" si="89"/>
        <v>0</v>
      </c>
    </row>
    <row r="472" spans="9:17" ht="12.75">
      <c r="I472" s="2">
        <f t="shared" si="87"/>
        <v>6240</v>
      </c>
      <c r="J472" s="13">
        <f t="shared" si="86"/>
        <v>-5.02483033845374</v>
      </c>
      <c r="K472" s="10">
        <f t="shared" si="90"/>
        <v>253.8436420181158</v>
      </c>
      <c r="L472" s="13">
        <f t="shared" si="84"/>
        <v>11.71944415852933</v>
      </c>
      <c r="M472" s="10">
        <f t="shared" si="85"/>
        <v>-2.3916669525817813</v>
      </c>
      <c r="N472" s="10">
        <f t="shared" si="91"/>
        <v>228.8066476794395</v>
      </c>
      <c r="P472" s="13">
        <f t="shared" si="88"/>
        <v>6.694613820075589</v>
      </c>
      <c r="Q472" s="13">
        <f t="shared" si="89"/>
        <v>0</v>
      </c>
    </row>
    <row r="473" spans="9:17" ht="12.75">
      <c r="I473" s="2">
        <f t="shared" si="87"/>
        <v>6255</v>
      </c>
      <c r="J473" s="13">
        <f t="shared" si="86"/>
        <v>-5.031526038800511</v>
      </c>
      <c r="K473" s="10">
        <f t="shared" si="90"/>
        <v>253.76530909073227</v>
      </c>
      <c r="L473" s="13">
        <f t="shared" si="84"/>
        <v>11.736683717212033</v>
      </c>
      <c r="M473" s="10">
        <f t="shared" si="85"/>
        <v>-2.3744273938990776</v>
      </c>
      <c r="N473" s="10">
        <f t="shared" si="91"/>
        <v>228.6914847857793</v>
      </c>
      <c r="P473" s="13">
        <f t="shared" si="88"/>
        <v>6.705157678411522</v>
      </c>
      <c r="Q473" s="13">
        <f t="shared" si="89"/>
        <v>0</v>
      </c>
    </row>
    <row r="474" spans="9:17" ht="12.75">
      <c r="I474" s="2">
        <f t="shared" si="87"/>
        <v>6270</v>
      </c>
      <c r="J474" s="13">
        <f t="shared" si="86"/>
        <v>-5.037777784630193</v>
      </c>
      <c r="K474" s="10">
        <f t="shared" si="90"/>
        <v>253.6868717829471</v>
      </c>
      <c r="L474" s="13">
        <f t="shared" si="84"/>
        <v>11.753485852740114</v>
      </c>
      <c r="M474" s="10">
        <f t="shared" si="85"/>
        <v>-2.3576252583709962</v>
      </c>
      <c r="N474" s="10">
        <f t="shared" si="91"/>
        <v>228.57715200663867</v>
      </c>
      <c r="P474" s="13">
        <f t="shared" si="88"/>
        <v>6.7157080681099215</v>
      </c>
      <c r="Q474" s="13">
        <f t="shared" si="89"/>
        <v>0</v>
      </c>
    </row>
    <row r="475" spans="9:17" ht="12.75">
      <c r="I475" s="2">
        <f t="shared" si="87"/>
        <v>6285</v>
      </c>
      <c r="J475" s="13">
        <f t="shared" si="86"/>
        <v>-5.043599629921018</v>
      </c>
      <c r="K475" s="10">
        <f t="shared" si="90"/>
        <v>253.60833701564206</v>
      </c>
      <c r="L475" s="13">
        <f t="shared" si="84"/>
        <v>11.769863663802184</v>
      </c>
      <c r="M475" s="10">
        <f t="shared" si="85"/>
        <v>-2.341247447308927</v>
      </c>
      <c r="N475" s="10">
        <f t="shared" si="91"/>
        <v>228.4636282793374</v>
      </c>
      <c r="P475" s="13">
        <f t="shared" si="88"/>
        <v>6.726264033881166</v>
      </c>
      <c r="Q475" s="13">
        <f t="shared" si="89"/>
        <v>0</v>
      </c>
    </row>
    <row r="476" spans="9:17" ht="12.75">
      <c r="I476" s="2">
        <f t="shared" si="87"/>
        <v>6300</v>
      </c>
      <c r="J476" s="13">
        <f t="shared" si="86"/>
        <v>-5.049005198795444</v>
      </c>
      <c r="K476" s="10">
        <f t="shared" si="90"/>
        <v>253.52971149060917</v>
      </c>
      <c r="L476" s="13">
        <f t="shared" si="84"/>
        <v>11.785829851301447</v>
      </c>
      <c r="M476" s="10">
        <f t="shared" si="85"/>
        <v>-2.325281259809664</v>
      </c>
      <c r="N476" s="10">
        <f t="shared" si="91"/>
        <v>228.35089317191972</v>
      </c>
      <c r="P476" s="13">
        <f t="shared" si="88"/>
        <v>6.7368246525060025</v>
      </c>
      <c r="Q476" s="13">
        <f t="shared" si="89"/>
        <v>0</v>
      </c>
    </row>
    <row r="477" spans="9:17" ht="12.75">
      <c r="I477" s="2">
        <f t="shared" si="87"/>
        <v>6315</v>
      </c>
      <c r="J477" s="13">
        <f t="shared" si="86"/>
        <v>-5.054007698622935</v>
      </c>
      <c r="K477" s="10">
        <f t="shared" si="90"/>
        <v>253.45100169725166</v>
      </c>
      <c r="L477" s="13">
        <f t="shared" si="84"/>
        <v>11.801396730458086</v>
      </c>
      <c r="M477" s="10">
        <f t="shared" si="85"/>
        <v>-2.309714380653025</v>
      </c>
      <c r="N477" s="10">
        <f t="shared" si="91"/>
        <v>228.2389268640003</v>
      </c>
      <c r="P477" s="13">
        <f t="shared" si="88"/>
        <v>6.747389031835151</v>
      </c>
      <c r="Q477" s="13">
        <f t="shared" si="89"/>
        <v>0</v>
      </c>
    </row>
    <row r="478" spans="9:17" ht="12.75">
      <c r="I478" s="2">
        <f t="shared" si="87"/>
        <v>6330</v>
      </c>
      <c r="J478" s="13">
        <f t="shared" si="86"/>
        <v>-5.05861993272384</v>
      </c>
      <c r="K478" s="10">
        <f t="shared" si="90"/>
        <v>253.37221391908085</v>
      </c>
      <c r="L478" s="13">
        <f t="shared" si="84"/>
        <v>11.816576242543302</v>
      </c>
      <c r="M478" s="10">
        <f t="shared" si="85"/>
        <v>-2.2945348685678084</v>
      </c>
      <c r="N478" s="10">
        <f t="shared" si="91"/>
        <v>228.1277101281929</v>
      </c>
      <c r="P478" s="13">
        <f t="shared" si="88"/>
        <v>6.757956309819463</v>
      </c>
      <c r="Q478" s="13">
        <f t="shared" si="89"/>
        <v>0</v>
      </c>
    </row>
    <row r="479" spans="9:17" ht="12.75">
      <c r="I479" s="2">
        <f t="shared" si="87"/>
        <v>6345</v>
      </c>
      <c r="J479" s="13">
        <f t="shared" si="86"/>
        <v>-5.062854312686484</v>
      </c>
      <c r="K479" s="10">
        <f t="shared" si="90"/>
        <v>253.293354240015</v>
      </c>
      <c r="L479" s="13">
        <f t="shared" si="84"/>
        <v>11.831379966256147</v>
      </c>
      <c r="M479" s="10">
        <f t="shared" si="85"/>
        <v>-2.2797311448549635</v>
      </c>
      <c r="N479" s="10">
        <f t="shared" si="91"/>
        <v>228.01722431210413</v>
      </c>
      <c r="P479" s="13">
        <f t="shared" si="88"/>
        <v>6.768525653569664</v>
      </c>
      <c r="Q479" s="13">
        <f t="shared" si="89"/>
        <v>0</v>
      </c>
    </row>
    <row r="480" spans="9:17" ht="12.75">
      <c r="I480" s="2">
        <f t="shared" si="87"/>
        <v>6360</v>
      </c>
      <c r="J480" s="13">
        <f t="shared" si="86"/>
        <v>-5.066722870309186</v>
      </c>
      <c r="K480" s="10">
        <f t="shared" si="90"/>
        <v>253.21442855048593</v>
      </c>
      <c r="L480" s="13">
        <f t="shared" si="84"/>
        <v>11.845819128754057</v>
      </c>
      <c r="M480" s="10">
        <f t="shared" si="85"/>
        <v>-2.487514204579277</v>
      </c>
      <c r="N480" s="10">
        <f t="shared" si="91"/>
        <v>227.907451320875</v>
      </c>
      <c r="P480" s="13">
        <f t="shared" si="88"/>
        <v>6.779096258444871</v>
      </c>
      <c r="Q480" s="13">
        <f t="shared" si="89"/>
        <v>0</v>
      </c>
    </row>
    <row r="481" spans="9:17" ht="12.75">
      <c r="I481" s="2">
        <f t="shared" si="87"/>
        <v>6375</v>
      </c>
      <c r="J481" s="13">
        <f t="shared" si="86"/>
        <v>-5.0752459594351995</v>
      </c>
      <c r="K481" s="10">
        <f t="shared" si="90"/>
        <v>253.1354425533598</v>
      </c>
      <c r="L481" s="13">
        <f t="shared" si="84"/>
        <v>11.86491330660419</v>
      </c>
      <c r="M481" s="10">
        <f t="shared" si="85"/>
        <v>-2.4684200267291434</v>
      </c>
      <c r="N481" s="10">
        <f t="shared" si="91"/>
        <v>227.7876732165236</v>
      </c>
      <c r="P481" s="13">
        <f t="shared" si="88"/>
        <v>6.789667347168991</v>
      </c>
      <c r="Q481" s="13">
        <f t="shared" si="89"/>
        <v>0</v>
      </c>
    </row>
    <row r="482" spans="9:17" ht="12.75">
      <c r="I482" s="2">
        <f t="shared" si="87"/>
        <v>6390</v>
      </c>
      <c r="J482" s="13">
        <f t="shared" si="86"/>
        <v>-5.083266317559098</v>
      </c>
      <c r="K482" s="10">
        <f t="shared" si="90"/>
        <v>253.05632368836024</v>
      </c>
      <c r="L482" s="13">
        <f t="shared" si="84"/>
        <v>11.883514925280156</v>
      </c>
      <c r="M482" s="10">
        <f t="shared" si="85"/>
        <v>-2.4498184080531775</v>
      </c>
      <c r="N482" s="10">
        <f t="shared" si="91"/>
        <v>227.66881452980718</v>
      </c>
      <c r="P482" s="13">
        <f t="shared" si="88"/>
        <v>6.800248607721058</v>
      </c>
      <c r="Q482" s="13">
        <f t="shared" si="89"/>
        <v>0</v>
      </c>
    </row>
    <row r="483" spans="9:17" ht="12.75">
      <c r="I483" s="2">
        <f t="shared" si="87"/>
        <v>6405</v>
      </c>
      <c r="J483" s="13">
        <f t="shared" si="86"/>
        <v>-5.0907997955830835</v>
      </c>
      <c r="K483" s="10">
        <f t="shared" si="90"/>
        <v>252.97707979264555</v>
      </c>
      <c r="L483" s="13">
        <f t="shared" si="84"/>
        <v>11.901638755082558</v>
      </c>
      <c r="M483" s="10">
        <f t="shared" si="85"/>
        <v>-2.4316945782507755</v>
      </c>
      <c r="N483" s="10">
        <f t="shared" si="91"/>
        <v>227.550851543151</v>
      </c>
      <c r="P483" s="13">
        <f t="shared" si="88"/>
        <v>6.810838959499475</v>
      </c>
      <c r="Q483" s="13">
        <f t="shared" si="89"/>
        <v>0</v>
      </c>
    </row>
    <row r="484" spans="9:17" ht="12.75">
      <c r="I484" s="2">
        <f t="shared" si="87"/>
        <v>6420</v>
      </c>
      <c r="J484" s="13">
        <f t="shared" si="86"/>
        <v>-5.097861759842282</v>
      </c>
      <c r="K484" s="10">
        <f t="shared" si="90"/>
        <v>252.89771845627172</v>
      </c>
      <c r="L484" s="13">
        <f t="shared" si="84"/>
        <v>11.919299117737678</v>
      </c>
      <c r="M484" s="10">
        <f t="shared" si="85"/>
        <v>-2.414034215595656</v>
      </c>
      <c r="N484" s="10">
        <f t="shared" si="91"/>
        <v>227.43376125019577</v>
      </c>
      <c r="P484" s="13">
        <f t="shared" si="88"/>
        <v>6.8214373578953955</v>
      </c>
      <c r="Q484" s="13">
        <f t="shared" si="89"/>
        <v>0</v>
      </c>
    </row>
    <row r="485" spans="9:17" ht="12.75">
      <c r="I485" s="2">
        <f t="shared" si="87"/>
        <v>6435</v>
      </c>
      <c r="J485" s="13">
        <f t="shared" si="86"/>
        <v>-5.104467106871157</v>
      </c>
      <c r="K485" s="10">
        <f t="shared" si="90"/>
        <v>252.81824702974635</v>
      </c>
      <c r="L485" s="13">
        <f t="shared" si="84"/>
        <v>11.936509900043905</v>
      </c>
      <c r="M485" s="10">
        <f t="shared" si="85"/>
        <v>-2.3968234332894287</v>
      </c>
      <c r="N485" s="10">
        <f t="shared" si="91"/>
        <v>227.317521334198</v>
      </c>
      <c r="P485" s="13">
        <f t="shared" si="88"/>
        <v>6.832042793172748</v>
      </c>
      <c r="Q485" s="13">
        <f t="shared" si="89"/>
        <v>0</v>
      </c>
    </row>
    <row r="486" spans="9:17" ht="12.75">
      <c r="I486" s="2">
        <f t="shared" si="87"/>
        <v>6450</v>
      </c>
      <c r="J486" s="13">
        <f t="shared" si="86"/>
        <v>-5.110630277720367</v>
      </c>
      <c r="K486" s="10">
        <f t="shared" si="90"/>
        <v>252.73867263135242</v>
      </c>
      <c r="L486" s="13">
        <f t="shared" si="84"/>
        <v>11.953284567102676</v>
      </c>
      <c r="M486" s="10">
        <f t="shared" si="85"/>
        <v>-2.380048766230658</v>
      </c>
      <c r="N486" s="10">
        <f t="shared" si="91"/>
        <v>227.2021101470876</v>
      </c>
      <c r="P486" s="13">
        <f t="shared" si="88"/>
        <v>6.842654289382309</v>
      </c>
      <c r="Q486" s="13">
        <f t="shared" si="89"/>
        <v>0</v>
      </c>
    </row>
    <row r="487" spans="9:17" ht="12.75">
      <c r="I487" s="2">
        <f t="shared" si="87"/>
        <v>6465</v>
      </c>
      <c r="J487" s="13">
        <f t="shared" si="86"/>
        <v>-5.116365271838095</v>
      </c>
      <c r="K487" s="10">
        <f t="shared" si="90"/>
        <v>252.65900215424892</v>
      </c>
      <c r="L487" s="13">
        <f t="shared" si="84"/>
        <v>11.969636175146919</v>
      </c>
      <c r="M487" s="10">
        <f t="shared" si="85"/>
        <v>-2.3636971581864152</v>
      </c>
      <c r="N487" s="10">
        <f t="shared" si="91"/>
        <v>227.08750668916232</v>
      </c>
      <c r="P487" s="13">
        <f t="shared" si="88"/>
        <v>6.8532709033088235</v>
      </c>
      <c r="Q487" s="13">
        <f t="shared" si="89"/>
        <v>0</v>
      </c>
    </row>
    <row r="488" spans="9:17" ht="12.75">
      <c r="I488" s="2">
        <f t="shared" si="87"/>
        <v>6480</v>
      </c>
      <c r="J488" s="13">
        <f t="shared" si="86"/>
        <v>-5.121685660528812</v>
      </c>
      <c r="K488" s="10">
        <f t="shared" si="90"/>
        <v>252.57924227335516</v>
      </c>
      <c r="L488" s="13">
        <f t="shared" si="84"/>
        <v>11.985577383978983</v>
      </c>
      <c r="M488" s="10">
        <f t="shared" si="85"/>
        <v>-2.5699781715765724</v>
      </c>
      <c r="N488" s="10">
        <f t="shared" si="91"/>
        <v>226.97369058940006</v>
      </c>
      <c r="P488" s="13">
        <f t="shared" si="88"/>
        <v>6.863891723450171</v>
      </c>
      <c r="Q488" s="13">
        <f t="shared" si="89"/>
        <v>0</v>
      </c>
    </row>
    <row r="489" spans="9:17" ht="12.75">
      <c r="I489" s="2">
        <f t="shared" si="87"/>
        <v>6495</v>
      </c>
      <c r="J489" s="13">
        <f t="shared" si="86"/>
        <v>-5.131613290258792</v>
      </c>
      <c r="K489" s="10">
        <f t="shared" si="90"/>
        <v>252.49939945202502</v>
      </c>
      <c r="L489" s="13">
        <f t="shared" si="84"/>
        <v>12.0061291592865</v>
      </c>
      <c r="M489" s="10">
        <f t="shared" si="85"/>
        <v>-2.5494263962690553</v>
      </c>
      <c r="N489" s="10">
        <f t="shared" si="91"/>
        <v>226.84994170264022</v>
      </c>
      <c r="P489" s="13">
        <f t="shared" si="88"/>
        <v>6.874515869027708</v>
      </c>
      <c r="Q489" s="13">
        <f t="shared" si="89"/>
        <v>0</v>
      </c>
    </row>
    <row r="490" spans="9:17" ht="12.75">
      <c r="I490" s="2">
        <f t="shared" si="87"/>
        <v>6510</v>
      </c>
      <c r="J490" s="13">
        <f t="shared" si="86"/>
        <v>-5.1409924060124</v>
      </c>
      <c r="K490" s="10">
        <f t="shared" si="90"/>
        <v>252.41940186720112</v>
      </c>
      <c r="L490" s="13">
        <f t="shared" si="84"/>
        <v>12.026145273462259</v>
      </c>
      <c r="M490" s="10">
        <f t="shared" si="85"/>
        <v>-2.5294102820932967</v>
      </c>
      <c r="N490" s="10">
        <f t="shared" si="91"/>
        <v>226.72718241934993</v>
      </c>
      <c r="P490" s="13">
        <f t="shared" si="88"/>
        <v>6.885152867449858</v>
      </c>
      <c r="Q490" s="13">
        <f t="shared" si="89"/>
        <v>0</v>
      </c>
    </row>
    <row r="491" spans="9:17" ht="12.75">
      <c r="I491" s="2">
        <f t="shared" si="87"/>
        <v>6525</v>
      </c>
      <c r="J491" s="13">
        <f t="shared" si="86"/>
        <v>-5.149840259432954</v>
      </c>
      <c r="K491" s="10">
        <f t="shared" si="90"/>
        <v>252.33925806976032</v>
      </c>
      <c r="L491" s="13">
        <f t="shared" si="84"/>
        <v>12.04564180236747</v>
      </c>
      <c r="M491" s="10">
        <f t="shared" si="85"/>
        <v>-2.5099137531880853</v>
      </c>
      <c r="N491" s="10">
        <f t="shared" si="91"/>
        <v>226.60538694652072</v>
      </c>
      <c r="P491" s="13">
        <f t="shared" si="88"/>
        <v>6.895801542934516</v>
      </c>
      <c r="Q491" s="13">
        <f t="shared" si="89"/>
        <v>0</v>
      </c>
    </row>
    <row r="492" spans="9:17" ht="12.75">
      <c r="I492" s="2">
        <f t="shared" si="87"/>
        <v>6540</v>
      </c>
      <c r="J492" s="13">
        <f t="shared" si="86"/>
        <v>-5.15817357495905</v>
      </c>
      <c r="K492" s="10">
        <f t="shared" si="90"/>
        <v>252.2589763416407</v>
      </c>
      <c r="L492" s="13">
        <f aca="true" t="shared" si="92" ref="L492:L555">(K492-N492)/D$12</f>
        <v>12.064634333641578</v>
      </c>
      <c r="M492" s="10">
        <f t="shared" si="85"/>
        <v>-2.490921221913977</v>
      </c>
      <c r="N492" s="10">
        <f t="shared" si="91"/>
        <v>226.4845302652246</v>
      </c>
      <c r="P492" s="13">
        <f t="shared" si="88"/>
        <v>6.906460758682528</v>
      </c>
      <c r="Q492" s="13">
        <f t="shared" si="89"/>
        <v>0</v>
      </c>
    </row>
    <row r="493" spans="9:17" ht="12.75">
      <c r="I493" s="2">
        <f t="shared" si="87"/>
        <v>6555</v>
      </c>
      <c r="J493" s="13">
        <f t="shared" si="86"/>
        <v>-5.166008565886699</v>
      </c>
      <c r="K493" s="10">
        <f t="shared" si="90"/>
        <v>252.17856470406028</v>
      </c>
      <c r="L493" s="13">
        <f t="shared" si="92"/>
        <v>12.08313798155338</v>
      </c>
      <c r="M493" s="10">
        <f t="shared" si="85"/>
        <v>-2.4724175740021757</v>
      </c>
      <c r="N493" s="10">
        <f t="shared" si="91"/>
        <v>226.36458810710533</v>
      </c>
      <c r="P493" s="13">
        <f t="shared" si="88"/>
        <v>6.917129415666681</v>
      </c>
      <c r="Q493" s="13">
        <f t="shared" si="89"/>
        <v>0</v>
      </c>
    </row>
    <row r="494" spans="9:17" ht="12.75">
      <c r="I494" s="2">
        <f t="shared" si="87"/>
        <v>6570</v>
      </c>
      <c r="J494" s="13">
        <f t="shared" si="86"/>
        <v>-5.1733609499428095</v>
      </c>
      <c r="K494" s="10">
        <f t="shared" si="90"/>
        <v>252.09803092548523</v>
      </c>
      <c r="L494" s="13">
        <f t="shared" si="92"/>
        <v>12.101167401400186</v>
      </c>
      <c r="M494" s="10">
        <f aca="true" t="shared" si="93" ref="M494:M557">L494-VLOOKUP(N494,A$44:C$251,2,TRUE)</f>
        <v>-2.454388154155369</v>
      </c>
      <c r="N494" s="10">
        <f t="shared" si="91"/>
        <v>226.24553693158484</v>
      </c>
      <c r="P494" s="13">
        <f t="shared" si="88"/>
        <v>6.927806451457377</v>
      </c>
      <c r="Q494" s="13">
        <f t="shared" si="89"/>
        <v>0</v>
      </c>
    </row>
    <row r="495" spans="9:17" ht="12.75">
      <c r="I495" s="2">
        <f t="shared" si="87"/>
        <v>6585</v>
      </c>
      <c r="J495" s="13">
        <f t="shared" si="86"/>
        <v>-5.180245964384893</v>
      </c>
      <c r="K495" s="10">
        <f t="shared" si="90"/>
        <v>252.01738252935544</v>
      </c>
      <c r="L495" s="13">
        <f t="shared" si="92"/>
        <v>12.118736803468867</v>
      </c>
      <c r="M495" s="10">
        <f t="shared" si="93"/>
        <v>-2.4368187520866886</v>
      </c>
      <c r="N495" s="10">
        <f t="shared" si="91"/>
        <v>226.12735390376287</v>
      </c>
      <c r="P495" s="13">
        <f t="shared" si="88"/>
        <v>6.938490839083974</v>
      </c>
      <c r="Q495" s="13">
        <f t="shared" si="89"/>
        <v>0</v>
      </c>
    </row>
    <row r="496" spans="9:17" ht="12.75">
      <c r="I496" s="2">
        <f t="shared" si="87"/>
        <v>6600</v>
      </c>
      <c r="J496" s="13">
        <f t="shared" si="86"/>
        <v>-5.186678380641287</v>
      </c>
      <c r="K496" s="10">
        <f t="shared" si="90"/>
        <v>251.93662680157465</v>
      </c>
      <c r="L496" s="13">
        <f t="shared" si="92"/>
        <v>12.13585996657196</v>
      </c>
      <c r="M496" s="10">
        <f t="shared" si="93"/>
        <v>-2.419695588983595</v>
      </c>
      <c r="N496" s="10">
        <f t="shared" si="91"/>
        <v>226.0100168729891</v>
      </c>
      <c r="P496" s="13">
        <f t="shared" si="88"/>
        <v>6.949181585930673</v>
      </c>
      <c r="Q496" s="13">
        <f t="shared" si="89"/>
        <v>0</v>
      </c>
    </row>
    <row r="497" spans="9:17" ht="12.75">
      <c r="I497" s="2">
        <f t="shared" si="87"/>
        <v>6615</v>
      </c>
      <c r="J497" s="13">
        <f t="shared" si="86"/>
        <v>-5.192672518505896</v>
      </c>
      <c r="K497" s="10">
        <f t="shared" si="90"/>
        <v>251.85577079777224</v>
      </c>
      <c r="L497" s="13">
        <f t="shared" si="92"/>
        <v>12.152550251171931</v>
      </c>
      <c r="M497" s="10">
        <f t="shared" si="93"/>
        <v>-2.6252275266058476</v>
      </c>
      <c r="N497" s="10">
        <f t="shared" si="91"/>
        <v>225.89350435208675</v>
      </c>
      <c r="P497" s="13">
        <f t="shared" si="88"/>
        <v>6.959877732666035</v>
      </c>
      <c r="Q497" s="13">
        <f t="shared" si="89"/>
        <v>0</v>
      </c>
    </row>
    <row r="498" spans="9:17" ht="12.75">
      <c r="I498" s="2">
        <f t="shared" si="87"/>
        <v>6630</v>
      </c>
      <c r="J498" s="13">
        <f t="shared" si="86"/>
        <v>-5.203250950157507</v>
      </c>
      <c r="K498" s="10">
        <f t="shared" si="90"/>
        <v>251.77482135034398</v>
      </c>
      <c r="L498" s="13">
        <f t="shared" si="92"/>
        <v>12.17382930236256</v>
      </c>
      <c r="M498" s="10">
        <f t="shared" si="93"/>
        <v>-2.603948475415219</v>
      </c>
      <c r="N498" s="10">
        <f t="shared" si="91"/>
        <v>225.76709511347852</v>
      </c>
      <c r="P498" s="13">
        <f t="shared" si="88"/>
        <v>6.970578352205052</v>
      </c>
      <c r="Q498" s="13">
        <f t="shared" si="89"/>
        <v>0</v>
      </c>
    </row>
    <row r="499" spans="9:17" ht="12.75">
      <c r="I499" s="2">
        <f t="shared" si="87"/>
        <v>6645</v>
      </c>
      <c r="J499" s="13">
        <f t="shared" si="86"/>
        <v>-5.213258692569553</v>
      </c>
      <c r="K499" s="10">
        <f t="shared" si="90"/>
        <v>251.6937069939611</v>
      </c>
      <c r="L499" s="13">
        <f t="shared" si="92"/>
        <v>12.19455155133395</v>
      </c>
      <c r="M499" s="10">
        <f t="shared" si="93"/>
        <v>-2.583226226443829</v>
      </c>
      <c r="N499" s="10">
        <f t="shared" si="91"/>
        <v>225.64171049792947</v>
      </c>
      <c r="P499" s="13">
        <f t="shared" si="88"/>
        <v>6.981292858764396</v>
      </c>
      <c r="Q499" s="13">
        <f t="shared" si="89"/>
        <v>0</v>
      </c>
    </row>
    <row r="500" spans="9:17" ht="12.75">
      <c r="I500" s="2">
        <f t="shared" si="87"/>
        <v>6660</v>
      </c>
      <c r="J500" s="13">
        <f t="shared" si="86"/>
        <v>-5.2227136769632665</v>
      </c>
      <c r="K500" s="10">
        <f t="shared" si="90"/>
        <v>251.61243662519433</v>
      </c>
      <c r="L500" s="13">
        <f t="shared" si="92"/>
        <v>12.214733712262735</v>
      </c>
      <c r="M500" s="10">
        <f t="shared" si="93"/>
        <v>-2.5630440655150437</v>
      </c>
      <c r="N500" s="10">
        <f t="shared" si="91"/>
        <v>225.51732369445122</v>
      </c>
      <c r="P500" s="13">
        <f t="shared" si="88"/>
        <v>6.992020035299468</v>
      </c>
      <c r="Q500" s="13">
        <f t="shared" si="89"/>
        <v>0</v>
      </c>
    </row>
    <row r="501" spans="9:17" ht="12.75">
      <c r="I501" s="2">
        <f t="shared" si="87"/>
        <v>6675</v>
      </c>
      <c r="J501" s="13">
        <f t="shared" si="86"/>
        <v>-5.231633286691294</v>
      </c>
      <c r="K501" s="10">
        <f t="shared" si="90"/>
        <v>251.53101886108166</v>
      </c>
      <c r="L501" s="13">
        <f t="shared" si="92"/>
        <v>12.234391991757734</v>
      </c>
      <c r="M501" s="10">
        <f t="shared" si="93"/>
        <v>-2.5433857860200444</v>
      </c>
      <c r="N501" s="10">
        <f t="shared" si="91"/>
        <v>225.39390869687196</v>
      </c>
      <c r="P501" s="13">
        <f t="shared" si="88"/>
        <v>7.00275870506644</v>
      </c>
      <c r="Q501" s="13">
        <f t="shared" si="89"/>
        <v>0</v>
      </c>
    </row>
    <row r="502" spans="9:17" ht="12.75">
      <c r="I502" s="2">
        <f t="shared" si="87"/>
        <v>6690</v>
      </c>
      <c r="J502" s="13">
        <f t="shared" si="86"/>
        <v>-5.240034373927058</v>
      </c>
      <c r="K502" s="10">
        <f t="shared" si="90"/>
        <v>251.449462047669</v>
      </c>
      <c r="L502" s="13">
        <f t="shared" si="92"/>
        <v>12.253542104297999</v>
      </c>
      <c r="M502" s="10">
        <f t="shared" si="93"/>
        <v>-2.5242356734797795</v>
      </c>
      <c r="N502" s="10">
        <f t="shared" si="91"/>
        <v>225.271440279396</v>
      </c>
      <c r="P502" s="13">
        <f t="shared" si="88"/>
        <v>7.013507730370941</v>
      </c>
      <c r="Q502" s="13">
        <f t="shared" si="89"/>
        <v>0</v>
      </c>
    </row>
    <row r="503" spans="9:17" ht="12.75">
      <c r="I503" s="2">
        <f t="shared" si="87"/>
        <v>6705</v>
      </c>
      <c r="J503" s="13">
        <f t="shared" si="86"/>
        <v>-5.247933275846378</v>
      </c>
      <c r="K503" s="10">
        <f t="shared" si="90"/>
        <v>251.3677742682909</v>
      </c>
      <c r="L503" s="13">
        <f t="shared" si="92"/>
        <v>12.272199287201005</v>
      </c>
      <c r="M503" s="10">
        <f t="shared" si="93"/>
        <v>-2.5055784905767737</v>
      </c>
      <c r="N503" s="10">
        <f t="shared" si="91"/>
        <v>225.14989397290694</v>
      </c>
      <c r="P503" s="13">
        <f t="shared" si="88"/>
        <v>7.0242660113546265</v>
      </c>
      <c r="Q503" s="13">
        <f t="shared" si="89"/>
        <v>0</v>
      </c>
    </row>
    <row r="504" spans="9:17" ht="12.75">
      <c r="I504" s="2">
        <f t="shared" si="87"/>
        <v>6720</v>
      </c>
      <c r="J504" s="13">
        <f aca="true" t="shared" si="94" ref="J504:J567">(D$7-K504)*(1/D$13+1/D$14)+D$16*(D$19*D$21*D$17+D$20*D$22*D$18)*(D$7^4-K504^4)-(K504-N504)/D$12</f>
        <v>-5.255345830316829</v>
      </c>
      <c r="K504" s="10">
        <f t="shared" si="90"/>
        <v>251.28596335159895</v>
      </c>
      <c r="L504" s="13">
        <f t="shared" si="92"/>
        <v>12.290378315135358</v>
      </c>
      <c r="M504" s="10">
        <f t="shared" si="93"/>
        <v>-2.4873994626424203</v>
      </c>
      <c r="N504" s="10">
        <f t="shared" si="91"/>
        <v>225.0292460419916</v>
      </c>
      <c r="P504" s="13">
        <f t="shared" si="88"/>
        <v>7.0350324848185295</v>
      </c>
      <c r="Q504" s="13">
        <f t="shared" si="89"/>
        <v>0</v>
      </c>
    </row>
    <row r="505" spans="9:17" ht="12.75">
      <c r="I505" s="2">
        <f aca="true" t="shared" si="95" ref="I505:I568">I504+I$41</f>
        <v>6735</v>
      </c>
      <c r="J505" s="13">
        <f t="shared" si="94"/>
        <v>-5.262287391109909</v>
      </c>
      <c r="K505" s="10">
        <f t="shared" si="90"/>
        <v>251.20403687934552</v>
      </c>
      <c r="L505" s="13">
        <f t="shared" si="92"/>
        <v>12.308093514192025</v>
      </c>
      <c r="M505" s="10">
        <f t="shared" si="93"/>
        <v>-2.6919064858079746</v>
      </c>
      <c r="N505" s="10">
        <f t="shared" si="91"/>
        <v>224.90947346266256</v>
      </c>
      <c r="P505" s="13">
        <f aca="true" t="shared" si="96" ref="P505:P568">(D$7-K505)*(1/D$13+1/D$14)+D$16*(D$19*D$21*D$17+D$20*D$22*D$18)*(D$7^4-K505^4)</f>
        <v>7.045806123082117</v>
      </c>
      <c r="Q505" s="13">
        <f aca="true" t="shared" si="97" ref="Q505:Q568">IF(K505=D$8,-J505,0)</f>
        <v>0</v>
      </c>
    </row>
    <row r="506" spans="9:17" ht="12.75">
      <c r="I506" s="2">
        <f t="shared" si="95"/>
        <v>6750</v>
      </c>
      <c r="J506" s="13">
        <f t="shared" si="94"/>
        <v>-5.273781532906884</v>
      </c>
      <c r="K506" s="10">
        <f t="shared" si="90"/>
        <v>251.12200219393048</v>
      </c>
      <c r="L506" s="13">
        <f t="shared" si="92"/>
        <v>12.330367465783882</v>
      </c>
      <c r="M506" s="10">
        <f t="shared" si="93"/>
        <v>-2.6696325342161185</v>
      </c>
      <c r="N506" s="10">
        <f t="shared" si="91"/>
        <v>224.77985351702856</v>
      </c>
      <c r="P506" s="13">
        <f t="shared" si="96"/>
        <v>7.056585932876998</v>
      </c>
      <c r="Q506" s="13">
        <f t="shared" si="97"/>
        <v>0</v>
      </c>
    </row>
    <row r="507" spans="9:17" ht="12.75">
      <c r="I507" s="2">
        <f t="shared" si="95"/>
        <v>6765</v>
      </c>
      <c r="J507" s="13">
        <f t="shared" si="94"/>
        <v>-5.284674305928639</v>
      </c>
      <c r="K507" s="10">
        <f t="shared" si="90"/>
        <v>251.03978832440094</v>
      </c>
      <c r="L507" s="13">
        <f t="shared" si="92"/>
        <v>12.352055509001032</v>
      </c>
      <c r="M507" s="10">
        <f t="shared" si="93"/>
        <v>-2.6479444909989684</v>
      </c>
      <c r="N507" s="10">
        <f t="shared" si="91"/>
        <v>224.65130610062602</v>
      </c>
      <c r="P507" s="13">
        <f t="shared" si="96"/>
        <v>7.067381203072393</v>
      </c>
      <c r="Q507" s="13">
        <f t="shared" si="97"/>
        <v>0</v>
      </c>
    </row>
    <row r="508" spans="9:17" ht="12.75">
      <c r="I508" s="2">
        <f t="shared" si="95"/>
        <v>6780</v>
      </c>
      <c r="J508" s="13">
        <f t="shared" si="94"/>
        <v>-5.294984581454401</v>
      </c>
      <c r="K508" s="10">
        <f t="shared" si="90"/>
        <v>250.95740464559614</v>
      </c>
      <c r="L508" s="13">
        <f t="shared" si="92"/>
        <v>12.373175237917152</v>
      </c>
      <c r="M508" s="10">
        <f t="shared" si="93"/>
        <v>-2.6268247620828475</v>
      </c>
      <c r="N508" s="10">
        <f t="shared" si="91"/>
        <v>224.52380300095496</v>
      </c>
      <c r="P508" s="13">
        <f t="shared" si="96"/>
        <v>7.078190656462751</v>
      </c>
      <c r="Q508" s="13">
        <f t="shared" si="97"/>
        <v>0</v>
      </c>
    </row>
    <row r="509" spans="9:17" ht="12.75">
      <c r="I509" s="2">
        <f t="shared" si="95"/>
        <v>6795</v>
      </c>
      <c r="J509" s="13">
        <f t="shared" si="94"/>
        <v>-5.304730654293709</v>
      </c>
      <c r="K509" s="10">
        <f t="shared" si="90"/>
        <v>250.87486023816774</v>
      </c>
      <c r="L509" s="13">
        <f t="shared" si="92"/>
        <v>12.393743712346396</v>
      </c>
      <c r="M509" s="10">
        <f t="shared" si="93"/>
        <v>-2.606256287653604</v>
      </c>
      <c r="N509" s="10">
        <f t="shared" si="91"/>
        <v>224.39731685270044</v>
      </c>
      <c r="P509" s="13">
        <f t="shared" si="96"/>
        <v>7.089013058052687</v>
      </c>
      <c r="Q509" s="13">
        <f t="shared" si="97"/>
        <v>0</v>
      </c>
    </row>
    <row r="510" spans="9:17" ht="12.75">
      <c r="I510" s="2">
        <f t="shared" si="95"/>
        <v>6810</v>
      </c>
      <c r="J510" s="13">
        <f t="shared" si="94"/>
        <v>-5.313930260344232</v>
      </c>
      <c r="K510" s="10">
        <f t="shared" si="90"/>
        <v>250.79216389756655</v>
      </c>
      <c r="L510" s="13">
        <f t="shared" si="92"/>
        <v>12.413777474091699</v>
      </c>
      <c r="M510" s="10">
        <f t="shared" si="93"/>
        <v>-2.586222525908301</v>
      </c>
      <c r="N510" s="10">
        <f t="shared" si="91"/>
        <v>224.27182111200702</v>
      </c>
      <c r="P510" s="13">
        <f t="shared" si="96"/>
        <v>7.099847213747466</v>
      </c>
      <c r="Q510" s="13">
        <f t="shared" si="97"/>
        <v>0</v>
      </c>
    </row>
    <row r="511" spans="9:17" ht="12.75">
      <c r="I511" s="2">
        <f t="shared" si="95"/>
        <v>6825</v>
      </c>
      <c r="J511" s="13">
        <f t="shared" si="94"/>
        <v>-5.322600593615599</v>
      </c>
      <c r="K511" s="10">
        <f t="shared" si="90"/>
        <v>250.70932414275552</v>
      </c>
      <c r="L511" s="13">
        <f t="shared" si="92"/>
        <v>12.433292562698679</v>
      </c>
      <c r="M511" s="10">
        <f t="shared" si="93"/>
        <v>-2.5667074373013214</v>
      </c>
      <c r="N511" s="10">
        <f t="shared" si="91"/>
        <v>224.14729003153562</v>
      </c>
      <c r="P511" s="13">
        <f t="shared" si="96"/>
        <v>7.11069196908308</v>
      </c>
      <c r="Q511" s="13">
        <f t="shared" si="97"/>
        <v>0</v>
      </c>
    </row>
    <row r="512" spans="9:17" ht="12.75">
      <c r="I512" s="2">
        <f t="shared" si="95"/>
        <v>6840</v>
      </c>
      <c r="J512" s="13">
        <f t="shared" si="94"/>
        <v>-5.330758322735481</v>
      </c>
      <c r="K512" s="10">
        <f t="shared" si="90"/>
        <v>250.6263492246572</v>
      </c>
      <c r="L512" s="13">
        <f t="shared" si="92"/>
        <v>12.45230453073022</v>
      </c>
      <c r="M512" s="10">
        <f t="shared" si="93"/>
        <v>-2.5476954692697795</v>
      </c>
      <c r="N512" s="10">
        <f t="shared" si="91"/>
        <v>224.023698636279</v>
      </c>
      <c r="P512" s="13">
        <f t="shared" si="96"/>
        <v>7.121546207994739</v>
      </c>
      <c r="Q512" s="13">
        <f t="shared" si="97"/>
        <v>0</v>
      </c>
    </row>
    <row r="513" spans="9:17" ht="12.75">
      <c r="I513" s="2">
        <f t="shared" si="95"/>
        <v>6855</v>
      </c>
      <c r="J513" s="13">
        <f t="shared" si="94"/>
        <v>-5.338419606953773</v>
      </c>
      <c r="K513" s="10">
        <f t="shared" si="90"/>
        <v>250.54324713434414</v>
      </c>
      <c r="L513" s="13">
        <f t="shared" si="92"/>
        <v>12.470828458576438</v>
      </c>
      <c r="M513" s="10">
        <f t="shared" si="93"/>
        <v>-2.690461864004206</v>
      </c>
      <c r="N513" s="10">
        <f t="shared" si="91"/>
        <v>223.90102270011266</v>
      </c>
      <c r="P513" s="13">
        <f t="shared" si="96"/>
        <v>7.132408851622666</v>
      </c>
      <c r="Q513" s="13">
        <f t="shared" si="97"/>
        <v>0</v>
      </c>
    </row>
    <row r="514" spans="9:17" ht="12.75">
      <c r="I514" s="2">
        <f t="shared" si="95"/>
        <v>6870</v>
      </c>
      <c r="J514" s="13">
        <f t="shared" si="94"/>
        <v>-5.349235451362138</v>
      </c>
      <c r="K514" s="10">
        <f t="shared" si="90"/>
        <v>250.46002561097964</v>
      </c>
      <c r="L514" s="13">
        <f t="shared" si="92"/>
        <v>12.492514308516277</v>
      </c>
      <c r="M514" s="10">
        <f t="shared" si="93"/>
        <v>-2.668776014064367</v>
      </c>
      <c r="N514" s="10">
        <f t="shared" si="91"/>
        <v>223.77147231551305</v>
      </c>
      <c r="P514" s="13">
        <f t="shared" si="96"/>
        <v>7.143278857154139</v>
      </c>
      <c r="Q514" s="13">
        <f t="shared" si="97"/>
        <v>0</v>
      </c>
    </row>
    <row r="515" spans="9:17" ht="12.75">
      <c r="I515" s="2">
        <f t="shared" si="95"/>
        <v>6885</v>
      </c>
      <c r="J515" s="13">
        <f t="shared" si="94"/>
        <v>-5.359469844455716</v>
      </c>
      <c r="K515" s="10">
        <f t="shared" si="90"/>
        <v>250.376635477593</v>
      </c>
      <c r="L515" s="13">
        <f t="shared" si="92"/>
        <v>12.513632454942112</v>
      </c>
      <c r="M515" s="10">
        <f t="shared" si="93"/>
        <v>-2.6476578676385323</v>
      </c>
      <c r="N515" s="10">
        <f t="shared" si="91"/>
        <v>223.64296614203485</v>
      </c>
      <c r="P515" s="13">
        <f t="shared" si="96"/>
        <v>7.154162610486396</v>
      </c>
      <c r="Q515" s="13">
        <f t="shared" si="97"/>
        <v>0</v>
      </c>
    </row>
    <row r="516" spans="9:17" ht="12.75">
      <c r="I516" s="2">
        <f t="shared" si="95"/>
        <v>6900</v>
      </c>
      <c r="J516" s="13">
        <f t="shared" si="94"/>
        <v>-5.369141051054391</v>
      </c>
      <c r="K516" s="10">
        <f t="shared" si="90"/>
        <v>250.2930857985268</v>
      </c>
      <c r="L516" s="13">
        <f t="shared" si="92"/>
        <v>12.534199936267479</v>
      </c>
      <c r="M516" s="10">
        <f t="shared" si="93"/>
        <v>-2.6270903863131654</v>
      </c>
      <c r="N516" s="10">
        <f t="shared" si="91"/>
        <v>223.51547684377354</v>
      </c>
      <c r="P516" s="13">
        <f t="shared" si="96"/>
        <v>7.165058885213088</v>
      </c>
      <c r="Q516" s="13">
        <f t="shared" si="97"/>
        <v>0</v>
      </c>
    </row>
    <row r="517" spans="9:17" ht="12.75">
      <c r="I517" s="2">
        <f t="shared" si="95"/>
        <v>6915</v>
      </c>
      <c r="J517" s="13">
        <f t="shared" si="94"/>
        <v>-5.37826677800325</v>
      </c>
      <c r="K517" s="10">
        <f t="shared" si="90"/>
        <v>250.20938535339027</v>
      </c>
      <c r="L517" s="13">
        <f t="shared" si="92"/>
        <v>12.554233273595866</v>
      </c>
      <c r="M517" s="10">
        <f t="shared" si="93"/>
        <v>-2.607057048984778</v>
      </c>
      <c r="N517" s="10">
        <f t="shared" si="91"/>
        <v>223.38897790525365</v>
      </c>
      <c r="P517" s="13">
        <f t="shared" si="96"/>
        <v>7.175966495592616</v>
      </c>
      <c r="Q517" s="13">
        <f t="shared" si="97"/>
        <v>0</v>
      </c>
    </row>
    <row r="518" spans="9:17" ht="12.75">
      <c r="I518" s="2">
        <f t="shared" si="95"/>
        <v>6930</v>
      </c>
      <c r="J518" s="13">
        <f t="shared" si="94"/>
        <v>-5.386864191166949</v>
      </c>
      <c r="K518" s="10">
        <f t="shared" si="90"/>
        <v>250.12554264575766</v>
      </c>
      <c r="L518" s="13">
        <f t="shared" si="92"/>
        <v>12.573748486451958</v>
      </c>
      <c r="M518" s="10">
        <f t="shared" si="93"/>
        <v>-2.587541836128686</v>
      </c>
      <c r="N518" s="10">
        <f t="shared" si="91"/>
        <v>223.2634436065194</v>
      </c>
      <c r="P518" s="13">
        <f t="shared" si="96"/>
        <v>7.186884295285009</v>
      </c>
      <c r="Q518" s="13">
        <f t="shared" si="97"/>
        <v>0</v>
      </c>
    </row>
    <row r="519" spans="9:17" ht="12.75">
      <c r="I519" s="2">
        <f t="shared" si="95"/>
        <v>6945</v>
      </c>
      <c r="J519" s="13">
        <f t="shared" si="94"/>
        <v>-5.3949499319073935</v>
      </c>
      <c r="K519" s="10">
        <f t="shared" si="90"/>
        <v>250.04156591160162</v>
      </c>
      <c r="L519" s="13">
        <f t="shared" si="92"/>
        <v>12.592761108034393</v>
      </c>
      <c r="M519" s="10">
        <f t="shared" si="93"/>
        <v>-2.568529214546251</v>
      </c>
      <c r="N519" s="10">
        <f t="shared" si="91"/>
        <v>223.1388489989827</v>
      </c>
      <c r="P519" s="13">
        <f t="shared" si="96"/>
        <v>7.197811176127</v>
      </c>
      <c r="Q519" s="13">
        <f t="shared" si="97"/>
        <v>0</v>
      </c>
    </row>
    <row r="520" spans="9:17" ht="12.75">
      <c r="I520" s="2">
        <f t="shared" si="95"/>
        <v>6960</v>
      </c>
      <c r="J520" s="13">
        <f t="shared" si="94"/>
        <v>-5.402540133060169</v>
      </c>
      <c r="K520" s="10">
        <f t="shared" si="90"/>
        <v>249.95746312746985</v>
      </c>
      <c r="L520" s="13">
        <f t="shared" si="92"/>
        <v>12.611286200004406</v>
      </c>
      <c r="M520" s="10">
        <f t="shared" si="93"/>
        <v>-2.5500041225762384</v>
      </c>
      <c r="N520" s="10">
        <f t="shared" si="91"/>
        <v>223.0151698820059</v>
      </c>
      <c r="P520" s="13">
        <f t="shared" si="96"/>
        <v>7.2087460669442365</v>
      </c>
      <c r="Q520" s="13">
        <f t="shared" si="97"/>
        <v>0</v>
      </c>
    </row>
    <row r="521" spans="9:17" ht="12.75">
      <c r="I521" s="2">
        <f t="shared" si="95"/>
        <v>6975</v>
      </c>
      <c r="J521" s="13">
        <f t="shared" si="94"/>
        <v>-5.409650434425057</v>
      </c>
      <c r="K521" s="10">
        <f t="shared" si="90"/>
        <v>249.87324201841253</v>
      </c>
      <c r="L521" s="13">
        <f t="shared" si="92"/>
        <v>12.629338366824618</v>
      </c>
      <c r="M521" s="10">
        <f t="shared" si="93"/>
        <v>-2.6932422783366743</v>
      </c>
      <c r="N521" s="10">
        <f t="shared" si="91"/>
        <v>222.8923827801963</v>
      </c>
      <c r="P521" s="13">
        <f t="shared" si="96"/>
        <v>7.219687932399561</v>
      </c>
      <c r="Q521" s="13">
        <f t="shared" si="97"/>
        <v>0</v>
      </c>
    </row>
    <row r="522" spans="9:17" ht="12.75">
      <c r="I522" s="2">
        <f t="shared" si="95"/>
        <v>6990</v>
      </c>
      <c r="J522" s="13">
        <f t="shared" si="94"/>
        <v>-5.4199313374876725</v>
      </c>
      <c r="K522" s="10">
        <f t="shared" si="90"/>
        <v>249.78891006566835</v>
      </c>
      <c r="L522" s="13">
        <f t="shared" si="92"/>
        <v>12.65056710936393</v>
      </c>
      <c r="M522" s="10">
        <f t="shared" si="93"/>
        <v>-2.672013535797362</v>
      </c>
      <c r="N522" s="10">
        <f t="shared" si="91"/>
        <v>222.7626985138454</v>
      </c>
      <c r="P522" s="13">
        <f t="shared" si="96"/>
        <v>7.2306357718762575</v>
      </c>
      <c r="Q522" s="13">
        <f t="shared" si="97"/>
        <v>0</v>
      </c>
    </row>
    <row r="523" spans="9:17" ht="12.75">
      <c r="I523" s="2">
        <f t="shared" si="95"/>
        <v>7005</v>
      </c>
      <c r="J523" s="13">
        <f t="shared" si="94"/>
        <v>-5.429646387726955</v>
      </c>
      <c r="K523" s="10">
        <f t="shared" si="90"/>
        <v>249.70441784219287</v>
      </c>
      <c r="L523" s="13">
        <f t="shared" si="92"/>
        <v>12.671242354679306</v>
      </c>
      <c r="M523" s="10">
        <f t="shared" si="93"/>
        <v>-2.651338290481986</v>
      </c>
      <c r="N523" s="10">
        <f t="shared" si="91"/>
        <v>222.63403644810526</v>
      </c>
      <c r="P523" s="13">
        <f t="shared" si="96"/>
        <v>7.24159596695235</v>
      </c>
      <c r="Q523" s="13">
        <f t="shared" si="97"/>
        <v>0</v>
      </c>
    </row>
    <row r="524" spans="9:17" ht="12.75">
      <c r="I524" s="2">
        <f t="shared" si="95"/>
        <v>7020</v>
      </c>
      <c r="J524" s="13">
        <f t="shared" si="94"/>
        <v>-5.438813374876215</v>
      </c>
      <c r="K524" s="10">
        <f t="shared" si="90"/>
        <v>249.61977416916113</v>
      </c>
      <c r="L524" s="13">
        <f t="shared" si="92"/>
        <v>12.691380707164097</v>
      </c>
      <c r="M524" s="10">
        <f t="shared" si="93"/>
        <v>-2.631199937997195</v>
      </c>
      <c r="N524" s="10">
        <f t="shared" si="91"/>
        <v>222.50636993112875</v>
      </c>
      <c r="P524" s="13">
        <f t="shared" si="96"/>
        <v>7.252567332287882</v>
      </c>
      <c r="Q524" s="13">
        <f t="shared" si="97"/>
        <v>0</v>
      </c>
    </row>
    <row r="525" spans="9:17" ht="12.75">
      <c r="I525" s="2">
        <f t="shared" si="95"/>
        <v>7035</v>
      </c>
      <c r="J525" s="13">
        <f t="shared" si="94"/>
        <v>-5.447449545191697</v>
      </c>
      <c r="K525" s="10">
        <f t="shared" si="90"/>
        <v>249.53498759042108</v>
      </c>
      <c r="L525" s="13">
        <f t="shared" si="92"/>
        <v>12.710998267150782</v>
      </c>
      <c r="M525" s="10">
        <f t="shared" si="93"/>
        <v>-2.6115823780105103</v>
      </c>
      <c r="N525" s="10">
        <f t="shared" si="91"/>
        <v>222.37967311059896</v>
      </c>
      <c r="P525" s="13">
        <f t="shared" si="96"/>
        <v>7.263548721959085</v>
      </c>
      <c r="Q525" s="13">
        <f t="shared" si="97"/>
        <v>0</v>
      </c>
    </row>
    <row r="526" spans="9:17" ht="12.75">
      <c r="I526" s="2">
        <f t="shared" si="95"/>
        <v>7050</v>
      </c>
      <c r="J526" s="13">
        <f t="shared" si="94"/>
        <v>-5.4555716180050435</v>
      </c>
      <c r="K526" s="10">
        <f t="shared" si="90"/>
        <v>249.45006638096584</v>
      </c>
      <c r="L526" s="13">
        <f t="shared" si="92"/>
        <v>12.73011064623779</v>
      </c>
      <c r="M526" s="10">
        <f t="shared" si="93"/>
        <v>-2.5924699989235016</v>
      </c>
      <c r="N526" s="10">
        <f t="shared" si="91"/>
        <v>222.25392090945783</v>
      </c>
      <c r="P526" s="13">
        <f t="shared" si="96"/>
        <v>7.274539028232747</v>
      </c>
      <c r="Q526" s="13">
        <f t="shared" si="97"/>
        <v>0</v>
      </c>
    </row>
    <row r="527" spans="9:17" ht="12.75">
      <c r="I527" s="2">
        <f t="shared" si="95"/>
        <v>7065</v>
      </c>
      <c r="J527" s="13">
        <f t="shared" si="94"/>
        <v>-5.463195801772466</v>
      </c>
      <c r="K527" s="10">
        <f aca="true" t="shared" si="98" ref="K527:K590">MAX(D$8,K526+J526*I$41/VLOOKUP(K526,E$44:G$251,3,TRUE))</f>
        <v>249.36501855514805</v>
      </c>
      <c r="L527" s="13">
        <f t="shared" si="92"/>
        <v>12.74873298215017</v>
      </c>
      <c r="M527" s="10">
        <f t="shared" si="93"/>
        <v>-2.5738476630111222</v>
      </c>
      <c r="N527" s="10">
        <f aca="true" t="shared" si="99" ref="N527:N590">N526+M526*I$41/VLOOKUP(N526,A$44:C$251,3,TRUE)</f>
        <v>222.1290890023727</v>
      </c>
      <c r="P527" s="13">
        <f t="shared" si="96"/>
        <v>7.285537180377704</v>
      </c>
      <c r="Q527" s="13">
        <f t="shared" si="97"/>
        <v>0</v>
      </c>
    </row>
    <row r="528" spans="9:17" ht="12.75">
      <c r="I528" s="2">
        <f t="shared" si="95"/>
        <v>7080</v>
      </c>
      <c r="J528" s="13">
        <f t="shared" si="94"/>
        <v>-5.470337809635701</v>
      </c>
      <c r="K528" s="10">
        <f t="shared" si="98"/>
        <v>249.279851874644</v>
      </c>
      <c r="L528" s="13">
        <f t="shared" si="92"/>
        <v>12.766879953148116</v>
      </c>
      <c r="M528" s="10">
        <f t="shared" si="93"/>
        <v>-2.5557006920131755</v>
      </c>
      <c r="N528" s="10">
        <f t="shared" si="99"/>
        <v>222.0051537929185</v>
      </c>
      <c r="P528" s="13">
        <f t="shared" si="96"/>
        <v>7.296542143512415</v>
      </c>
      <c r="Q528" s="13">
        <f t="shared" si="97"/>
        <v>0</v>
      </c>
    </row>
    <row r="529" spans="9:17" ht="12.75">
      <c r="I529" s="2">
        <f t="shared" si="95"/>
        <v>7095</v>
      </c>
      <c r="J529" s="13">
        <f t="shared" si="94"/>
        <v>-5.477012874509686</v>
      </c>
      <c r="K529" s="10">
        <f t="shared" si="98"/>
        <v>249.19457385617517</v>
      </c>
      <c r="L529" s="13">
        <f t="shared" si="92"/>
        <v>12.784565791997252</v>
      </c>
      <c r="M529" s="10">
        <f t="shared" si="93"/>
        <v>-2.6993051757446835</v>
      </c>
      <c r="N529" s="10">
        <f t="shared" si="99"/>
        <v>221.88209239145377</v>
      </c>
      <c r="P529" s="13">
        <f t="shared" si="96"/>
        <v>7.307552917487566</v>
      </c>
      <c r="Q529" s="13">
        <f t="shared" si="97"/>
        <v>0</v>
      </c>
    </row>
    <row r="530" spans="9:17" ht="12.75">
      <c r="I530" s="2">
        <f t="shared" si="95"/>
        <v>7110</v>
      </c>
      <c r="J530" s="13">
        <f t="shared" si="94"/>
        <v>-5.486871103413633</v>
      </c>
      <c r="K530" s="10">
        <f t="shared" si="98"/>
        <v>249.1091917789945</v>
      </c>
      <c r="L530" s="13">
        <f t="shared" si="92"/>
        <v>12.805439639216273</v>
      </c>
      <c r="M530" s="10">
        <f t="shared" si="93"/>
        <v>-2.6784313285256633</v>
      </c>
      <c r="N530" s="10">
        <f t="shared" si="99"/>
        <v>221.75211618612337</v>
      </c>
      <c r="P530" s="13">
        <f t="shared" si="96"/>
        <v>7.3185685358026396</v>
      </c>
      <c r="Q530" s="13">
        <f t="shared" si="97"/>
        <v>0</v>
      </c>
    </row>
    <row r="531" spans="9:17" ht="12.75">
      <c r="I531" s="2">
        <f t="shared" si="95"/>
        <v>7125</v>
      </c>
      <c r="J531" s="13">
        <f t="shared" si="94"/>
        <v>-5.496175704955787</v>
      </c>
      <c r="K531" s="10">
        <f t="shared" si="98"/>
        <v>249.02365602022127</v>
      </c>
      <c r="L531" s="13">
        <f t="shared" si="92"/>
        <v>12.825771072512367</v>
      </c>
      <c r="M531" s="10">
        <f t="shared" si="93"/>
        <v>-2.6580998952295687</v>
      </c>
      <c r="N531" s="10">
        <f t="shared" si="99"/>
        <v>221.6231450925812</v>
      </c>
      <c r="P531" s="13">
        <f t="shared" si="96"/>
        <v>7.32959536755658</v>
      </c>
      <c r="Q531" s="13">
        <f t="shared" si="97"/>
        <v>0</v>
      </c>
    </row>
    <row r="532" spans="9:17" ht="12.75">
      <c r="I532" s="2">
        <f t="shared" si="95"/>
        <v>7140</v>
      </c>
      <c r="J532" s="13">
        <f t="shared" si="94"/>
        <v>-5.504944096353639</v>
      </c>
      <c r="K532" s="10">
        <f t="shared" si="98"/>
        <v>248.93797521044573</v>
      </c>
      <c r="L532" s="13">
        <f t="shared" si="92"/>
        <v>12.845576357261287</v>
      </c>
      <c r="M532" s="10">
        <f t="shared" si="93"/>
        <v>-2.6382946104806493</v>
      </c>
      <c r="N532" s="10">
        <f t="shared" si="99"/>
        <v>221.49515299266025</v>
      </c>
      <c r="P532" s="13">
        <f t="shared" si="96"/>
        <v>7.340632260907648</v>
      </c>
      <c r="Q532" s="13">
        <f t="shared" si="97"/>
        <v>0</v>
      </c>
    </row>
    <row r="533" spans="9:17" ht="12.75">
      <c r="I533" s="2">
        <f t="shared" si="95"/>
        <v>7155</v>
      </c>
      <c r="J533" s="13">
        <f t="shared" si="94"/>
        <v>-5.513193162724623</v>
      </c>
      <c r="K533" s="10">
        <f t="shared" si="98"/>
        <v>248.85215770873825</v>
      </c>
      <c r="L533" s="13">
        <f t="shared" si="92"/>
        <v>12.864871265137333</v>
      </c>
      <c r="M533" s="10">
        <f t="shared" si="93"/>
        <v>-2.6189997026046026</v>
      </c>
      <c r="N533" s="10">
        <f t="shared" si="99"/>
        <v>221.3681145513994</v>
      </c>
      <c r="P533" s="13">
        <f t="shared" si="96"/>
        <v>7.35167810241271</v>
      </c>
      <c r="Q533" s="13">
        <f t="shared" si="97"/>
        <v>0</v>
      </c>
    </row>
    <row r="534" spans="9:17" ht="12.75">
      <c r="I534" s="2">
        <f t="shared" si="95"/>
        <v>7170</v>
      </c>
      <c r="J534" s="13">
        <f t="shared" si="94"/>
        <v>-5.520939273291507</v>
      </c>
      <c r="K534" s="10">
        <f t="shared" si="98"/>
        <v>248.76621161094425</v>
      </c>
      <c r="L534" s="13">
        <f t="shared" si="92"/>
        <v>12.883671089123672</v>
      </c>
      <c r="M534" s="10">
        <f t="shared" si="93"/>
        <v>-2.6001998786182643</v>
      </c>
      <c r="N534" s="10">
        <f t="shared" si="99"/>
        <v>221.24200519327096</v>
      </c>
      <c r="P534" s="13">
        <f t="shared" si="96"/>
        <v>7.362731815832165</v>
      </c>
      <c r="Q534" s="13">
        <f t="shared" si="97"/>
        <v>0</v>
      </c>
    </row>
    <row r="535" spans="9:17" ht="12.75">
      <c r="I535" s="2">
        <f t="shared" si="95"/>
        <v>7185</v>
      </c>
      <c r="J535" s="13">
        <f t="shared" si="94"/>
        <v>-5.528198297095005</v>
      </c>
      <c r="K535" s="10">
        <f t="shared" si="98"/>
        <v>248.68014475772657</v>
      </c>
      <c r="L535" s="13">
        <f t="shared" si="92"/>
        <v>12.90199065806616</v>
      </c>
      <c r="M535" s="10">
        <f t="shared" si="93"/>
        <v>-2.5818803096757765</v>
      </c>
      <c r="N535" s="10">
        <f t="shared" si="99"/>
        <v>221.11680107913068</v>
      </c>
      <c r="P535" s="13">
        <f t="shared" si="96"/>
        <v>7.373792360971154</v>
      </c>
      <c r="Q535" s="13">
        <f t="shared" si="97"/>
        <v>0</v>
      </c>
    </row>
    <row r="536" spans="9:17" ht="12.75">
      <c r="I536" s="2">
        <f t="shared" si="95"/>
        <v>7200</v>
      </c>
      <c r="J536" s="13">
        <f t="shared" si="94"/>
        <v>-5.534985618228421</v>
      </c>
      <c r="K536" s="10">
        <f t="shared" si="98"/>
        <v>248.59396474236286</v>
      </c>
      <c r="L536" s="13">
        <f t="shared" si="92"/>
        <v>12.919844350784386</v>
      </c>
      <c r="M536" s="10">
        <f t="shared" si="93"/>
        <v>-2.725316939538194</v>
      </c>
      <c r="N536" s="10">
        <f t="shared" si="99"/>
        <v>220.99247908386894</v>
      </c>
      <c r="P536" s="13">
        <f t="shared" si="96"/>
        <v>7.384858732555965</v>
      </c>
      <c r="Q536" s="13">
        <f t="shared" si="97"/>
        <v>0</v>
      </c>
    </row>
    <row r="537" spans="9:17" ht="12.75">
      <c r="I537" s="2">
        <f t="shared" si="95"/>
        <v>7215</v>
      </c>
      <c r="J537" s="13">
        <f t="shared" si="94"/>
        <v>-5.544951490311332</v>
      </c>
      <c r="K537" s="10">
        <f t="shared" si="98"/>
        <v>248.50767891830557</v>
      </c>
      <c r="L537" s="13">
        <f t="shared" si="92"/>
        <v>12.940881449455935</v>
      </c>
      <c r="M537" s="10">
        <f t="shared" si="93"/>
        <v>-2.7042798408666453</v>
      </c>
      <c r="N537" s="10">
        <f t="shared" si="99"/>
        <v>220.86125036719517</v>
      </c>
      <c r="P537" s="13">
        <f t="shared" si="96"/>
        <v>7.395929959144603</v>
      </c>
      <c r="Q537" s="13">
        <f t="shared" si="97"/>
        <v>0</v>
      </c>
    </row>
    <row r="538" spans="9:17" ht="12.75">
      <c r="I538" s="2">
        <f t="shared" si="95"/>
        <v>7230</v>
      </c>
      <c r="J538" s="13">
        <f t="shared" si="94"/>
        <v>-5.554359304218731</v>
      </c>
      <c r="K538" s="10">
        <f t="shared" si="98"/>
        <v>248.42123773458803</v>
      </c>
      <c r="L538" s="13">
        <f t="shared" si="92"/>
        <v>12.961371669184235</v>
      </c>
      <c r="M538" s="10">
        <f t="shared" si="93"/>
        <v>-2.683789621138345</v>
      </c>
      <c r="N538" s="10">
        <f t="shared" si="99"/>
        <v>220.731034623149</v>
      </c>
      <c r="P538" s="13">
        <f t="shared" si="96"/>
        <v>7.407012364965504</v>
      </c>
      <c r="Q538" s="13">
        <f t="shared" si="97"/>
        <v>0</v>
      </c>
    </row>
    <row r="539" spans="9:17" ht="12.75">
      <c r="I539" s="2">
        <f t="shared" si="95"/>
        <v>7245</v>
      </c>
      <c r="J539" s="13">
        <f t="shared" si="94"/>
        <v>-5.56322661347002</v>
      </c>
      <c r="K539" s="10">
        <f t="shared" si="98"/>
        <v>248.33464989087324</v>
      </c>
      <c r="L539" s="13">
        <f t="shared" si="92"/>
        <v>12.98133140831454</v>
      </c>
      <c r="M539" s="10">
        <f t="shared" si="93"/>
        <v>-2.6638298820080397</v>
      </c>
      <c r="N539" s="10">
        <f t="shared" si="99"/>
        <v>220.6018055185649</v>
      </c>
      <c r="P539" s="13">
        <f t="shared" si="96"/>
        <v>7.4181047948445205</v>
      </c>
      <c r="Q539" s="13">
        <f t="shared" si="97"/>
        <v>0</v>
      </c>
    </row>
    <row r="540" spans="9:17" ht="12.75">
      <c r="I540" s="2">
        <f t="shared" si="95"/>
        <v>7260</v>
      </c>
      <c r="J540" s="13">
        <f t="shared" si="94"/>
        <v>-5.571570435365178</v>
      </c>
      <c r="K540" s="10">
        <f t="shared" si="98"/>
        <v>248.24792381317943</v>
      </c>
      <c r="L540" s="13">
        <f t="shared" si="92"/>
        <v>13.000776567498997</v>
      </c>
      <c r="M540" s="10">
        <f t="shared" si="93"/>
        <v>-2.644384722823583</v>
      </c>
      <c r="N540" s="10">
        <f t="shared" si="99"/>
        <v>220.4735375098861</v>
      </c>
      <c r="P540" s="13">
        <f t="shared" si="96"/>
        <v>7.429206132133819</v>
      </c>
      <c r="Q540" s="13">
        <f t="shared" si="97"/>
        <v>0</v>
      </c>
    </row>
    <row r="541" spans="9:17" ht="12.75">
      <c r="I541" s="2">
        <f t="shared" si="95"/>
        <v>7275</v>
      </c>
      <c r="J541" s="13">
        <f t="shared" si="94"/>
        <v>-5.57940726731435</v>
      </c>
      <c r="K541" s="10">
        <f t="shared" si="98"/>
        <v>248.16106766223922</v>
      </c>
      <c r="L541" s="13">
        <f t="shared" si="92"/>
        <v>13.019722564827038</v>
      </c>
      <c r="M541" s="10">
        <f t="shared" si="93"/>
        <v>-2.625438725495542</v>
      </c>
      <c r="N541" s="10">
        <f t="shared" si="99"/>
        <v>220.34620581919964</v>
      </c>
      <c r="P541" s="13">
        <f t="shared" si="96"/>
        <v>7.440315297512688</v>
      </c>
      <c r="Q541" s="13">
        <f t="shared" si="97"/>
        <v>0</v>
      </c>
    </row>
    <row r="542" spans="9:17" ht="12.75">
      <c r="I542" s="2">
        <f t="shared" si="95"/>
        <v>7290</v>
      </c>
      <c r="J542" s="13">
        <f t="shared" si="94"/>
        <v>-5.586753102670894</v>
      </c>
      <c r="K542" s="10">
        <f t="shared" si="98"/>
        <v>248.0740893416044</v>
      </c>
      <c r="L542" s="13">
        <f t="shared" si="92"/>
        <v>13.0381843504956</v>
      </c>
      <c r="M542" s="10">
        <f t="shared" si="93"/>
        <v>-2.60697693982698</v>
      </c>
      <c r="N542" s="10">
        <f t="shared" si="99"/>
        <v>220.21978641100017</v>
      </c>
      <c r="P542" s="13">
        <f t="shared" si="96"/>
        <v>7.451431247824706</v>
      </c>
      <c r="Q542" s="13">
        <f t="shared" si="97"/>
        <v>0</v>
      </c>
    </row>
    <row r="543" spans="9:17" ht="12.75">
      <c r="I543" s="2">
        <f t="shared" si="95"/>
        <v>7305</v>
      </c>
      <c r="J543" s="13">
        <f t="shared" si="94"/>
        <v>-5.593623446082843</v>
      </c>
      <c r="K543" s="10">
        <f t="shared" si="98"/>
        <v>247.98699650550364</v>
      </c>
      <c r="L543" s="13">
        <f t="shared" si="92"/>
        <v>13.056176421033115</v>
      </c>
      <c r="M543" s="10">
        <f t="shared" si="93"/>
        <v>-2.5889848692894653</v>
      </c>
      <c r="N543" s="10">
        <f t="shared" si="99"/>
        <v>220.09425596966017</v>
      </c>
      <c r="P543" s="13">
        <f t="shared" si="96"/>
        <v>7.462552974950272</v>
      </c>
      <c r="Q543" s="13">
        <f t="shared" si="97"/>
        <v>0</v>
      </c>
    </row>
    <row r="544" spans="9:17" ht="12.75">
      <c r="I544" s="2">
        <f t="shared" si="95"/>
        <v>7320</v>
      </c>
      <c r="J544" s="13">
        <f t="shared" si="94"/>
        <v>-5.600033328377503</v>
      </c>
      <c r="K544" s="10">
        <f t="shared" si="98"/>
        <v>247.89979656646102</v>
      </c>
      <c r="L544" s="13">
        <f t="shared" si="92"/>
        <v>13.073712833090916</v>
      </c>
      <c r="M544" s="10">
        <f t="shared" si="93"/>
        <v>-2.73273877981231</v>
      </c>
      <c r="N544" s="10">
        <f t="shared" si="99"/>
        <v>219.96959187758497</v>
      </c>
      <c r="P544" s="13">
        <f t="shared" si="96"/>
        <v>7.473679504713413</v>
      </c>
      <c r="Q544" s="13">
        <f t="shared" si="97"/>
        <v>0</v>
      </c>
    </row>
    <row r="545" spans="9:17" ht="12.75">
      <c r="I545" s="2">
        <f t="shared" si="95"/>
        <v>7335</v>
      </c>
      <c r="J545" s="13">
        <f t="shared" si="94"/>
        <v>-5.609632660695586</v>
      </c>
      <c r="K545" s="10">
        <f t="shared" si="98"/>
        <v>247.81249670268252</v>
      </c>
      <c r="L545" s="13">
        <f t="shared" si="92"/>
        <v>13.094442556517478</v>
      </c>
      <c r="M545" s="10">
        <f t="shared" si="93"/>
        <v>-2.7120090563857477</v>
      </c>
      <c r="N545" s="10">
        <f t="shared" si="99"/>
        <v>219.8380057864861</v>
      </c>
      <c r="P545" s="13">
        <f t="shared" si="96"/>
        <v>7.4848098958218925</v>
      </c>
      <c r="Q545" s="13">
        <f t="shared" si="97"/>
        <v>0</v>
      </c>
    </row>
    <row r="546" spans="9:17" ht="12.75">
      <c r="I546" s="2">
        <f t="shared" si="95"/>
        <v>7350</v>
      </c>
      <c r="J546" s="13">
        <f t="shared" si="94"/>
        <v>-5.618684547998711</v>
      </c>
      <c r="K546" s="10">
        <f t="shared" si="98"/>
        <v>247.725047193294</v>
      </c>
      <c r="L546" s="13">
        <f t="shared" si="92"/>
        <v>13.114635003625885</v>
      </c>
      <c r="M546" s="10">
        <f t="shared" si="93"/>
        <v>-2.691816609277341</v>
      </c>
      <c r="N546" s="10">
        <f t="shared" si="99"/>
        <v>219.70741786736596</v>
      </c>
      <c r="P546" s="13">
        <f t="shared" si="96"/>
        <v>7.495950455627174</v>
      </c>
      <c r="Q546" s="13">
        <f t="shared" si="97"/>
        <v>0</v>
      </c>
    </row>
    <row r="547" spans="9:17" ht="12.75">
      <c r="I547" s="2">
        <f t="shared" si="95"/>
        <v>7365</v>
      </c>
      <c r="J547" s="13">
        <f t="shared" si="94"/>
        <v>-5.627206220129663</v>
      </c>
      <c r="K547" s="10">
        <f t="shared" si="98"/>
        <v>247.63745657250803</v>
      </c>
      <c r="L547" s="13">
        <f t="shared" si="92"/>
        <v>13.134306278881924</v>
      </c>
      <c r="M547" s="10">
        <f t="shared" si="93"/>
        <v>-2.6721453340213017</v>
      </c>
      <c r="N547" s="10">
        <f t="shared" si="99"/>
        <v>219.5778022494421</v>
      </c>
      <c r="P547" s="13">
        <f t="shared" si="96"/>
        <v>7.507100058752261</v>
      </c>
      <c r="Q547" s="13">
        <f t="shared" si="97"/>
        <v>0</v>
      </c>
    </row>
    <row r="548" spans="9:17" ht="12.75">
      <c r="I548" s="2">
        <f t="shared" si="95"/>
        <v>7380</v>
      </c>
      <c r="J548" s="13">
        <f t="shared" si="94"/>
        <v>-5.635214380603677</v>
      </c>
      <c r="K548" s="10">
        <f t="shared" si="98"/>
        <v>247.54973310593837</v>
      </c>
      <c r="L548" s="13">
        <f t="shared" si="92"/>
        <v>13.153471998043983</v>
      </c>
      <c r="M548" s="10">
        <f t="shared" si="93"/>
        <v>-2.652979614859243</v>
      </c>
      <c r="N548" s="10">
        <f t="shared" si="99"/>
        <v>219.44913383738987</v>
      </c>
      <c r="P548" s="13">
        <f t="shared" si="96"/>
        <v>7.518257617440306</v>
      </c>
      <c r="Q548" s="13">
        <f t="shared" si="97"/>
        <v>0</v>
      </c>
    </row>
    <row r="549" spans="9:17" ht="12.75">
      <c r="I549" s="2">
        <f t="shared" si="95"/>
        <v>7395</v>
      </c>
      <c r="J549" s="13">
        <f t="shared" si="94"/>
        <v>-5.642725222636031</v>
      </c>
      <c r="K549" s="10">
        <f t="shared" si="98"/>
        <v>247.46188479880485</v>
      </c>
      <c r="L549" s="13">
        <f t="shared" si="92"/>
        <v>13.1721473030187</v>
      </c>
      <c r="M549" s="10">
        <f t="shared" si="93"/>
        <v>-2.6343043098845254</v>
      </c>
      <c r="N549" s="10">
        <f t="shared" si="99"/>
        <v>219.32138828781035</v>
      </c>
      <c r="P549" s="13">
        <f t="shared" si="96"/>
        <v>7.52942208038267</v>
      </c>
      <c r="Q549" s="13">
        <f t="shared" si="97"/>
        <v>0</v>
      </c>
    </row>
    <row r="550" spans="9:17" ht="12.75">
      <c r="I550" s="2">
        <f t="shared" si="95"/>
        <v>7410</v>
      </c>
      <c r="J550" s="13">
        <f t="shared" si="94"/>
        <v>-5.649754444682232</v>
      </c>
      <c r="K550" s="10">
        <f t="shared" si="98"/>
        <v>247.37391940388846</v>
      </c>
      <c r="L550" s="13">
        <f t="shared" si="92"/>
        <v>13.190346876264826</v>
      </c>
      <c r="M550" s="10">
        <f t="shared" si="93"/>
        <v>-2.6161047366384</v>
      </c>
      <c r="N550" s="10">
        <f t="shared" si="99"/>
        <v>219.1945419864136</v>
      </c>
      <c r="P550" s="13">
        <f t="shared" si="96"/>
        <v>7.540592431582594</v>
      </c>
      <c r="Q550" s="13">
        <f t="shared" si="97"/>
        <v>0</v>
      </c>
    </row>
    <row r="551" spans="9:17" ht="12.75">
      <c r="I551" s="2">
        <f t="shared" si="95"/>
        <v>7425</v>
      </c>
      <c r="J551" s="13">
        <f t="shared" si="94"/>
        <v>-5.6563172655057095</v>
      </c>
      <c r="K551" s="10">
        <f t="shared" si="98"/>
        <v>247.2858444292444</v>
      </c>
      <c r="L551" s="13">
        <f t="shared" si="92"/>
        <v>13.208084954759107</v>
      </c>
      <c r="M551" s="10">
        <f t="shared" si="93"/>
        <v>-2.598366658144119</v>
      </c>
      <c r="N551" s="10">
        <f t="shared" si="99"/>
        <v>219.0685720258954</v>
      </c>
      <c r="P551" s="13">
        <f t="shared" si="96"/>
        <v>7.551767689253397</v>
      </c>
      <c r="Q551" s="13">
        <f t="shared" si="97"/>
        <v>0</v>
      </c>
    </row>
    <row r="552" spans="9:17" ht="12.75">
      <c r="I552" s="2">
        <f t="shared" si="95"/>
        <v>7440</v>
      </c>
      <c r="J552" s="13">
        <f t="shared" si="94"/>
        <v>-5.662428438787107</v>
      </c>
      <c r="K552" s="10">
        <f t="shared" si="98"/>
        <v>247.19766714568</v>
      </c>
      <c r="L552" s="13">
        <f t="shared" si="92"/>
        <v>13.22537534353736</v>
      </c>
      <c r="M552" s="10">
        <f t="shared" si="93"/>
        <v>-2.742366591946512</v>
      </c>
      <c r="N552" s="10">
        <f t="shared" si="99"/>
        <v>218.94345618448654</v>
      </c>
      <c r="P552" s="13">
        <f t="shared" si="96"/>
        <v>7.562946904750253</v>
      </c>
      <c r="Q552" s="13">
        <f t="shared" si="97"/>
        <v>0</v>
      </c>
    </row>
    <row r="553" spans="9:17" ht="12.75">
      <c r="I553" s="2">
        <f t="shared" si="95"/>
        <v>7455</v>
      </c>
      <c r="J553" s="13">
        <f t="shared" si="94"/>
        <v>-5.67173760699157</v>
      </c>
      <c r="K553" s="10">
        <f t="shared" si="98"/>
        <v>247.10939459400487</v>
      </c>
      <c r="L553" s="13">
        <f t="shared" si="92"/>
        <v>13.245866768526087</v>
      </c>
      <c r="M553" s="10">
        <f t="shared" si="93"/>
        <v>-2.721875166957785</v>
      </c>
      <c r="N553" s="10">
        <f t="shared" si="99"/>
        <v>218.81140649760823</v>
      </c>
      <c r="P553" s="13">
        <f t="shared" si="96"/>
        <v>7.5741291615345165</v>
      </c>
      <c r="Q553" s="13">
        <f t="shared" si="97"/>
        <v>0</v>
      </c>
    </row>
    <row r="554" spans="9:17" ht="12.75">
      <c r="I554" s="2">
        <f t="shared" si="95"/>
        <v>7470</v>
      </c>
      <c r="J554" s="13">
        <f t="shared" si="94"/>
        <v>-5.680507660983894</v>
      </c>
      <c r="K554" s="10">
        <f t="shared" si="98"/>
        <v>247.020976920137</v>
      </c>
      <c r="L554" s="13">
        <f t="shared" si="92"/>
        <v>13.265828405574696</v>
      </c>
      <c r="M554" s="10">
        <f t="shared" si="93"/>
        <v>-2.7019135299091754</v>
      </c>
      <c r="N554" s="10">
        <f t="shared" si="99"/>
        <v>218.68034350822742</v>
      </c>
      <c r="P554" s="13">
        <f t="shared" si="96"/>
        <v>7.585320744590803</v>
      </c>
      <c r="Q554" s="13">
        <f t="shared" si="97"/>
        <v>0</v>
      </c>
    </row>
    <row r="555" spans="9:17" ht="12.75">
      <c r="I555" s="2">
        <f t="shared" si="95"/>
        <v>7485</v>
      </c>
      <c r="J555" s="13">
        <f t="shared" si="94"/>
        <v>-5.68875557629038</v>
      </c>
      <c r="K555" s="10">
        <f t="shared" si="98"/>
        <v>246.93242252841873</v>
      </c>
      <c r="L555" s="13">
        <f t="shared" si="92"/>
        <v>13.28527612957731</v>
      </c>
      <c r="M555" s="10">
        <f t="shared" si="93"/>
        <v>-2.6824658059065616</v>
      </c>
      <c r="N555" s="10">
        <f t="shared" si="99"/>
        <v>218.55024170613993</v>
      </c>
      <c r="P555" s="13">
        <f t="shared" si="96"/>
        <v>7.59652055328693</v>
      </c>
      <c r="Q555" s="13">
        <f t="shared" si="97"/>
        <v>0</v>
      </c>
    </row>
    <row r="556" spans="9:17" ht="12.75">
      <c r="I556" s="2">
        <f t="shared" si="95"/>
        <v>7500</v>
      </c>
      <c r="J556" s="13">
        <f t="shared" si="94"/>
        <v>-5.696497809891703</v>
      </c>
      <c r="K556" s="10">
        <f t="shared" si="98"/>
        <v>246.84373955855804</v>
      </c>
      <c r="L556" s="13">
        <f aca="true" t="shared" si="100" ref="L556:L619">(K556-N556)/D$12</f>
        <v>13.304225333750692</v>
      </c>
      <c r="M556" s="10">
        <f t="shared" si="93"/>
        <v>-2.66351660173318</v>
      </c>
      <c r="N556" s="10">
        <f t="shared" si="99"/>
        <v>218.4210763455452</v>
      </c>
      <c r="P556" s="13">
        <f t="shared" si="96"/>
        <v>7.607727523858989</v>
      </c>
      <c r="Q556" s="13">
        <f t="shared" si="97"/>
        <v>0</v>
      </c>
    </row>
    <row r="557" spans="9:17" ht="12.75">
      <c r="I557" s="2">
        <f t="shared" si="95"/>
        <v>7515</v>
      </c>
      <c r="J557" s="13">
        <f t="shared" si="94"/>
        <v>-5.703750316012748</v>
      </c>
      <c r="K557" s="10">
        <f t="shared" si="98"/>
        <v>246.75493589371234</v>
      </c>
      <c r="L557" s="13">
        <f t="shared" si="100"/>
        <v>13.322690944274772</v>
      </c>
      <c r="M557" s="10">
        <f t="shared" si="93"/>
        <v>-2.6450509912091</v>
      </c>
      <c r="N557" s="10">
        <f t="shared" si="99"/>
        <v>218.2928234218526</v>
      </c>
      <c r="P557" s="13">
        <f t="shared" si="96"/>
        <v>7.618940628262024</v>
      </c>
      <c r="Q557" s="13">
        <f t="shared" si="97"/>
        <v>0</v>
      </c>
    </row>
    <row r="558" spans="9:17" ht="12.75">
      <c r="I558" s="2">
        <f t="shared" si="95"/>
        <v>7530</v>
      </c>
      <c r="J558" s="13">
        <f t="shared" si="94"/>
        <v>-5.710528561432097</v>
      </c>
      <c r="K558" s="10">
        <f t="shared" si="98"/>
        <v>246.66601916832587</v>
      </c>
      <c r="L558" s="13">
        <f t="shared" si="100"/>
        <v>13.340687434487783</v>
      </c>
      <c r="M558" s="10">
        <f aca="true" t="shared" si="101" ref="M558:M621">L558-VLOOKUP(N558,A$44:C$251,2,TRUE)</f>
        <v>-2.6270545009960884</v>
      </c>
      <c r="N558" s="10">
        <f t="shared" si="99"/>
        <v>218.16545964919288</v>
      </c>
      <c r="P558" s="13">
        <f t="shared" si="96"/>
        <v>7.630158873055686</v>
      </c>
      <c r="Q558" s="13">
        <f t="shared" si="97"/>
        <v>0</v>
      </c>
    </row>
    <row r="559" spans="9:17" ht="12.75">
      <c r="I559" s="2">
        <f t="shared" si="95"/>
        <v>7545</v>
      </c>
      <c r="J559" s="13">
        <f t="shared" si="94"/>
        <v>-5.716847540326139</v>
      </c>
      <c r="K559" s="10">
        <f t="shared" si="98"/>
        <v>246.57699677572867</v>
      </c>
      <c r="L559" s="13">
        <f t="shared" si="100"/>
        <v>13.358228838649906</v>
      </c>
      <c r="M559" s="10">
        <f t="shared" si="101"/>
        <v>-2.6095130968339664</v>
      </c>
      <c r="N559" s="10">
        <f t="shared" si="99"/>
        <v>218.03896243861297</v>
      </c>
      <c r="P559" s="13">
        <f t="shared" si="96"/>
        <v>7.641381298323767</v>
      </c>
      <c r="Q559" s="13">
        <f t="shared" si="97"/>
        <v>0</v>
      </c>
    </row>
    <row r="560" spans="9:17" ht="12.75">
      <c r="I560" s="2">
        <f t="shared" si="95"/>
        <v>7560</v>
      </c>
      <c r="J560" s="13">
        <f t="shared" si="94"/>
        <v>-5.7227217886615875</v>
      </c>
      <c r="K560" s="10">
        <f t="shared" si="98"/>
        <v>246.48787587550405</v>
      </c>
      <c r="L560" s="13">
        <f t="shared" si="100"/>
        <v>13.375328765288256</v>
      </c>
      <c r="M560" s="10">
        <f t="shared" si="101"/>
        <v>-2.7537034927762605</v>
      </c>
      <c r="N560" s="10">
        <f t="shared" si="99"/>
        <v>217.91330987693368</v>
      </c>
      <c r="P560" s="13">
        <f t="shared" si="96"/>
        <v>7.652606976626668</v>
      </c>
      <c r="Q560" s="13">
        <f t="shared" si="97"/>
        <v>0</v>
      </c>
    </row>
    <row r="561" spans="9:17" ht="12.75">
      <c r="I561" s="2">
        <f t="shared" si="95"/>
        <v>7575</v>
      </c>
      <c r="J561" s="13">
        <f t="shared" si="94"/>
        <v>-5.731800737852602</v>
      </c>
      <c r="K561" s="10">
        <f t="shared" si="98"/>
        <v>246.39866340063165</v>
      </c>
      <c r="L561" s="13">
        <f t="shared" si="100"/>
        <v>13.395635749838448</v>
      </c>
      <c r="M561" s="10">
        <f t="shared" si="101"/>
        <v>-2.7333965082260683</v>
      </c>
      <c r="N561" s="10">
        <f t="shared" si="99"/>
        <v>217.78071429870405</v>
      </c>
      <c r="P561" s="13">
        <f t="shared" si="96"/>
        <v>7.663835011985846</v>
      </c>
      <c r="Q561" s="13">
        <f t="shared" si="97"/>
        <v>0</v>
      </c>
    </row>
    <row r="562" spans="9:17" ht="12.75">
      <c r="I562" s="2">
        <f t="shared" si="95"/>
        <v>7590</v>
      </c>
      <c r="J562" s="13">
        <f t="shared" si="94"/>
        <v>-5.740347120771072</v>
      </c>
      <c r="K562" s="10">
        <f t="shared" si="98"/>
        <v>246.30930939248952</v>
      </c>
      <c r="L562" s="13">
        <f t="shared" si="100"/>
        <v>13.41541878349258</v>
      </c>
      <c r="M562" s="10">
        <f t="shared" si="101"/>
        <v>-2.713613474571936</v>
      </c>
      <c r="N562" s="10">
        <f t="shared" si="99"/>
        <v>217.6490965368463</v>
      </c>
      <c r="P562" s="13">
        <f t="shared" si="96"/>
        <v>7.675071662721508</v>
      </c>
      <c r="Q562" s="13">
        <f t="shared" si="97"/>
        <v>0</v>
      </c>
    </row>
    <row r="563" spans="9:17" ht="12.75">
      <c r="I563" s="2">
        <f t="shared" si="95"/>
        <v>7605</v>
      </c>
      <c r="J563" s="13">
        <f t="shared" si="94"/>
        <v>-5.748377712780945</v>
      </c>
      <c r="K563" s="10">
        <f t="shared" si="98"/>
        <v>246.21982215334307</v>
      </c>
      <c r="L563" s="13">
        <f t="shared" si="100"/>
        <v>13.434693561802284</v>
      </c>
      <c r="M563" s="10">
        <f t="shared" si="101"/>
        <v>-2.694338696262232</v>
      </c>
      <c r="N563" s="10">
        <f t="shared" si="99"/>
        <v>217.51843136222</v>
      </c>
      <c r="P563" s="13">
        <f t="shared" si="96"/>
        <v>7.686315849021339</v>
      </c>
      <c r="Q563" s="13">
        <f t="shared" si="97"/>
        <v>0</v>
      </c>
    </row>
    <row r="564" spans="9:17" ht="12.75">
      <c r="I564" s="2">
        <f t="shared" si="95"/>
        <v>7620</v>
      </c>
      <c r="J564" s="13">
        <f t="shared" si="94"/>
        <v>-5.755908776835518</v>
      </c>
      <c r="K564" s="10">
        <f t="shared" si="98"/>
        <v>246.13020972394375</v>
      </c>
      <c r="L564" s="13">
        <f t="shared" si="100"/>
        <v>13.453475304144726</v>
      </c>
      <c r="M564" s="10">
        <f t="shared" si="101"/>
        <v>-2.6755569539197896</v>
      </c>
      <c r="N564" s="10">
        <f t="shared" si="99"/>
        <v>217.38869430145274</v>
      </c>
      <c r="P564" s="13">
        <f t="shared" si="96"/>
        <v>7.697566527309208</v>
      </c>
      <c r="Q564" s="13">
        <f t="shared" si="97"/>
        <v>0</v>
      </c>
    </row>
    <row r="565" spans="9:17" ht="12.75">
      <c r="I565" s="2">
        <f t="shared" si="95"/>
        <v>7635</v>
      </c>
      <c r="J565" s="13">
        <f t="shared" si="94"/>
        <v>-5.762956079079296</v>
      </c>
      <c r="K565" s="10">
        <f t="shared" si="98"/>
        <v>246.04047989151707</v>
      </c>
      <c r="L565" s="13">
        <f t="shared" si="100"/>
        <v>13.471778768194202</v>
      </c>
      <c r="M565" s="10">
        <f t="shared" si="101"/>
        <v>-2.657253489870314</v>
      </c>
      <c r="N565" s="10">
        <f t="shared" si="99"/>
        <v>217.25986161401127</v>
      </c>
      <c r="P565" s="13">
        <f t="shared" si="96"/>
        <v>7.708822689114906</v>
      </c>
      <c r="Q565" s="13">
        <f t="shared" si="97"/>
        <v>0</v>
      </c>
    </row>
    <row r="566" spans="9:17" ht="12.75">
      <c r="I566" s="2">
        <f t="shared" si="95"/>
        <v>7650</v>
      </c>
      <c r="J566" s="13">
        <f t="shared" si="94"/>
        <v>-5.769534903975496</v>
      </c>
      <c r="K566" s="10">
        <f t="shared" si="98"/>
        <v>245.95064019750745</v>
      </c>
      <c r="L566" s="13">
        <f t="shared" si="100"/>
        <v>13.489618263953739</v>
      </c>
      <c r="M566" s="10">
        <f t="shared" si="101"/>
        <v>-2.639413994110777</v>
      </c>
      <c r="N566" s="10">
        <f t="shared" si="99"/>
        <v>217.13191026996992</v>
      </c>
      <c r="P566" s="13">
        <f t="shared" si="96"/>
        <v>7.720083359978243</v>
      </c>
      <c r="Q566" s="13">
        <f t="shared" si="97"/>
        <v>0</v>
      </c>
    </row>
    <row r="567" spans="9:17" ht="12.75">
      <c r="I567" s="2">
        <f t="shared" si="95"/>
        <v>7665</v>
      </c>
      <c r="J567" s="13">
        <f t="shared" si="94"/>
        <v>-5.775660068973544</v>
      </c>
      <c r="K567" s="10">
        <f t="shared" si="98"/>
        <v>245.86069794508728</v>
      </c>
      <c r="L567" s="13">
        <f t="shared" si="100"/>
        <v>13.507007667360085</v>
      </c>
      <c r="M567" s="10">
        <f t="shared" si="101"/>
        <v>-2.622024590704431</v>
      </c>
      <c r="N567" s="10">
        <f t="shared" si="99"/>
        <v>217.00481792845437</v>
      </c>
      <c r="P567" s="13">
        <f t="shared" si="96"/>
        <v>7.731347598386542</v>
      </c>
      <c r="Q567" s="13">
        <f t="shared" si="97"/>
        <v>0</v>
      </c>
    </row>
    <row r="568" spans="9:17" ht="12.75">
      <c r="I568" s="2">
        <f t="shared" si="95"/>
        <v>7680</v>
      </c>
      <c r="J568" s="13">
        <f aca="true" t="shared" si="102" ref="J568:J631">(D$7-K568)*(1/D$13+1/D$14)+D$16*(D$19*D$21*D$17+D$20*D$22*D$18)*(D$7^4-K568^4)-(K568-N568)/D$12</f>
        <v>-5.781345938730482</v>
      </c>
      <c r="K568" s="10">
        <f t="shared" si="98"/>
        <v>245.77066020643719</v>
      </c>
      <c r="L568" s="13">
        <f t="shared" si="100"/>
        <v>13.52396043347501</v>
      </c>
      <c r="M568" s="10">
        <f t="shared" si="101"/>
        <v>-2.7663621471701507</v>
      </c>
      <c r="N568" s="10">
        <f t="shared" si="99"/>
        <v>216.87856291674058</v>
      </c>
      <c r="P568" s="13">
        <f t="shared" si="96"/>
        <v>7.742614494744528</v>
      </c>
      <c r="Q568" s="13">
        <f t="shared" si="97"/>
        <v>0</v>
      </c>
    </row>
    <row r="569" spans="9:17" ht="12.75">
      <c r="I569" s="2">
        <f aca="true" t="shared" si="103" ref="I569:I632">I568+I$41</f>
        <v>7695</v>
      </c>
      <c r="J569" s="13">
        <f t="shared" si="102"/>
        <v>-5.790241778602156</v>
      </c>
      <c r="K569" s="10">
        <f t="shared" si="98"/>
        <v>245.68053382980474</v>
      </c>
      <c r="L569" s="13">
        <f t="shared" si="100"/>
        <v>13.544124948977794</v>
      </c>
      <c r="M569" s="10">
        <f t="shared" si="101"/>
        <v>-2.746197631667366</v>
      </c>
      <c r="N569" s="10">
        <f t="shared" si="99"/>
        <v>216.7453578024431</v>
      </c>
      <c r="P569" s="13">
        <f aca="true" t="shared" si="104" ref="P569:P632">(D$7-K569)*(1/D$13+1/D$14)+D$16*(D$19*D$21*D$17+D$20*D$22*D$18)*(D$7^4-K569^4)</f>
        <v>7.753883170375638</v>
      </c>
      <c r="Q569" s="13">
        <f aca="true" t="shared" si="105" ref="Q569:Q632">IF(K569=D$8,-J569,0)</f>
        <v>0</v>
      </c>
    </row>
    <row r="570" spans="9:17" ht="12.75">
      <c r="I570" s="2">
        <f t="shared" si="103"/>
        <v>7710</v>
      </c>
      <c r="J570" s="13">
        <f t="shared" si="102"/>
        <v>-5.798610207301563</v>
      </c>
      <c r="K570" s="10">
        <f t="shared" si="98"/>
        <v>245.59026877442463</v>
      </c>
      <c r="L570" s="13">
        <f t="shared" si="100"/>
        <v>13.563770060868745</v>
      </c>
      <c r="M570" s="10">
        <f t="shared" si="101"/>
        <v>-2.7265525197764156</v>
      </c>
      <c r="N570" s="10">
        <f t="shared" si="99"/>
        <v>216.61312364438686</v>
      </c>
      <c r="P570" s="13">
        <f t="shared" si="104"/>
        <v>7.765159853567182</v>
      </c>
      <c r="Q570" s="13">
        <f t="shared" si="105"/>
        <v>0</v>
      </c>
    </row>
    <row r="571" spans="9:17" ht="12.75">
      <c r="I571" s="2">
        <f t="shared" si="103"/>
        <v>7725</v>
      </c>
      <c r="J571" s="13">
        <f t="shared" si="102"/>
        <v>-5.80646784231228</v>
      </c>
      <c r="K571" s="10">
        <f t="shared" si="98"/>
        <v>245.49987326219852</v>
      </c>
      <c r="L571" s="13">
        <f t="shared" si="100"/>
        <v>13.58291132459073</v>
      </c>
      <c r="M571" s="10">
        <f t="shared" si="101"/>
        <v>-2.7074112560544297</v>
      </c>
      <c r="N571" s="10">
        <f t="shared" si="99"/>
        <v>216.48183543239105</v>
      </c>
      <c r="P571" s="13">
        <f t="shared" si="104"/>
        <v>7.7764434822784505</v>
      </c>
      <c r="Q571" s="13">
        <f t="shared" si="105"/>
        <v>0</v>
      </c>
    </row>
    <row r="572" spans="9:17" ht="12.75">
      <c r="I572" s="2">
        <f t="shared" si="103"/>
        <v>7740</v>
      </c>
      <c r="J572" s="13">
        <f t="shared" si="102"/>
        <v>-5.813830793556299</v>
      </c>
      <c r="K572" s="10">
        <f t="shared" si="98"/>
        <v>245.40935525597533</v>
      </c>
      <c r="L572" s="13">
        <f t="shared" si="100"/>
        <v>13.601563823722104</v>
      </c>
      <c r="M572" s="10">
        <f t="shared" si="101"/>
        <v>-2.6887587569230558</v>
      </c>
      <c r="N572" s="10">
        <f t="shared" si="99"/>
        <v>216.3514689052963</v>
      </c>
      <c r="P572" s="13">
        <f t="shared" si="104"/>
        <v>7.787733030165805</v>
      </c>
      <c r="Q572" s="13">
        <f t="shared" si="105"/>
        <v>0</v>
      </c>
    </row>
    <row r="573" spans="9:17" ht="12.75">
      <c r="I573" s="2">
        <f t="shared" si="103"/>
        <v>7755</v>
      </c>
      <c r="J573" s="13">
        <f t="shared" si="102"/>
        <v>-5.820714678847208</v>
      </c>
      <c r="K573" s="10">
        <f t="shared" si="98"/>
        <v>245.31872246746374</v>
      </c>
      <c r="L573" s="13">
        <f t="shared" si="100"/>
        <v>13.61974218431584</v>
      </c>
      <c r="M573" s="10">
        <f t="shared" si="101"/>
        <v>-2.6705803963293206</v>
      </c>
      <c r="N573" s="10">
        <f t="shared" si="99"/>
        <v>216.22200052824354</v>
      </c>
      <c r="P573" s="13">
        <f t="shared" si="104"/>
        <v>7.799027505468631</v>
      </c>
      <c r="Q573" s="13">
        <f t="shared" si="105"/>
        <v>0</v>
      </c>
    </row>
    <row r="574" spans="9:17" ht="12.75">
      <c r="I574" s="2">
        <f t="shared" si="103"/>
        <v>7770</v>
      </c>
      <c r="J574" s="13">
        <f t="shared" si="102"/>
        <v>-5.827134638873407</v>
      </c>
      <c r="K574" s="10">
        <f t="shared" si="98"/>
        <v>245.22798236490365</v>
      </c>
      <c r="L574" s="13">
        <f t="shared" si="100"/>
        <v>13.637460588802632</v>
      </c>
      <c r="M574" s="10">
        <f t="shared" si="101"/>
        <v>-2.652861991842528</v>
      </c>
      <c r="N574" s="10">
        <f t="shared" si="99"/>
        <v>216.09340747064348</v>
      </c>
      <c r="P574" s="13">
        <f t="shared" si="104"/>
        <v>7.810325949929226</v>
      </c>
      <c r="Q574" s="13">
        <f t="shared" si="105"/>
        <v>0</v>
      </c>
    </row>
    <row r="575" spans="9:17" ht="12.75">
      <c r="I575" s="2">
        <f t="shared" si="103"/>
        <v>7785</v>
      </c>
      <c r="J575" s="13">
        <f t="shared" si="102"/>
        <v>-5.833105351725825</v>
      </c>
      <c r="K575" s="10">
        <f t="shared" si="98"/>
        <v>245.13714218050424</v>
      </c>
      <c r="L575" s="13">
        <f t="shared" si="100"/>
        <v>13.654732789471398</v>
      </c>
      <c r="M575" s="10">
        <f t="shared" si="101"/>
        <v>-2.79688011375441</v>
      </c>
      <c r="N575" s="10">
        <f t="shared" si="99"/>
        <v>215.96566758481535</v>
      </c>
      <c r="P575" s="13">
        <f t="shared" si="104"/>
        <v>7.821627437745573</v>
      </c>
      <c r="Q575" s="13">
        <f t="shared" si="105"/>
        <v>0</v>
      </c>
    </row>
    <row r="576" spans="9:17" ht="12.75">
      <c r="I576" s="2">
        <f t="shared" si="103"/>
        <v>7800</v>
      </c>
      <c r="J576" s="13">
        <f t="shared" si="102"/>
        <v>-5.842276386686152</v>
      </c>
      <c r="K576" s="10">
        <f t="shared" si="98"/>
        <v>245.04620891765546</v>
      </c>
      <c r="L576" s="13">
        <f t="shared" si="100"/>
        <v>13.675207461242223</v>
      </c>
      <c r="M576" s="10">
        <f t="shared" si="101"/>
        <v>-2.7764054419835844</v>
      </c>
      <c r="N576" s="10">
        <f t="shared" si="99"/>
        <v>215.8309929777289</v>
      </c>
      <c r="P576" s="13">
        <f t="shared" si="104"/>
        <v>7.832931074556072</v>
      </c>
      <c r="Q576" s="13">
        <f t="shared" si="105"/>
        <v>0</v>
      </c>
    </row>
    <row r="577" spans="9:17" ht="12.75">
      <c r="I577" s="2">
        <f t="shared" si="103"/>
        <v>7815</v>
      </c>
      <c r="J577" s="13">
        <f t="shared" si="102"/>
        <v>-5.850910698292643</v>
      </c>
      <c r="K577" s="10">
        <f t="shared" si="98"/>
        <v>244.95513268599635</v>
      </c>
      <c r="L577" s="13">
        <f t="shared" si="100"/>
        <v>13.695153730641737</v>
      </c>
      <c r="M577" s="10">
        <f t="shared" si="101"/>
        <v>-2.756459172584071</v>
      </c>
      <c r="N577" s="10">
        <f t="shared" si="99"/>
        <v>215.69730426144355</v>
      </c>
      <c r="P577" s="13">
        <f t="shared" si="104"/>
        <v>7.844243032349094</v>
      </c>
      <c r="Q577" s="13">
        <f t="shared" si="105"/>
        <v>0</v>
      </c>
    </row>
    <row r="578" spans="9:17" ht="12.75">
      <c r="I578" s="2">
        <f t="shared" si="103"/>
        <v>7830</v>
      </c>
      <c r="J578" s="13">
        <f t="shared" si="102"/>
        <v>-5.8590251881737165</v>
      </c>
      <c r="K578" s="10">
        <f t="shared" si="98"/>
        <v>244.86392185259777</v>
      </c>
      <c r="L578" s="13">
        <f t="shared" si="100"/>
        <v>13.714587423888332</v>
      </c>
      <c r="M578" s="10">
        <f t="shared" si="101"/>
        <v>-2.7370254793374755</v>
      </c>
      <c r="N578" s="10">
        <f t="shared" si="99"/>
        <v>215.5645759924727</v>
      </c>
      <c r="P578" s="13">
        <f t="shared" si="104"/>
        <v>7.855562235714616</v>
      </c>
      <c r="Q578" s="13">
        <f t="shared" si="105"/>
        <v>0</v>
      </c>
    </row>
    <row r="579" spans="9:17" ht="12.75">
      <c r="I579" s="2">
        <f t="shared" si="103"/>
        <v>7845</v>
      </c>
      <c r="J579" s="13">
        <f t="shared" si="102"/>
        <v>-5.8666362417863995</v>
      </c>
      <c r="K579" s="10">
        <f t="shared" si="98"/>
        <v>244.77258452104826</v>
      </c>
      <c r="L579" s="13">
        <f t="shared" si="100"/>
        <v>13.733523887159436</v>
      </c>
      <c r="M579" s="10">
        <f t="shared" si="101"/>
        <v>-2.718089016066372</v>
      </c>
      <c r="N579" s="10">
        <f t="shared" si="99"/>
        <v>215.43278348938946</v>
      </c>
      <c r="P579" s="13">
        <f t="shared" si="104"/>
        <v>7.866887645373036</v>
      </c>
      <c r="Q579" s="13">
        <f t="shared" si="105"/>
        <v>0</v>
      </c>
    </row>
    <row r="580" spans="9:17" ht="12.75">
      <c r="I580" s="2">
        <f t="shared" si="103"/>
        <v>7860</v>
      </c>
      <c r="J580" s="13">
        <f t="shared" si="102"/>
        <v>-5.8737597441299245</v>
      </c>
      <c r="K580" s="10">
        <f t="shared" si="98"/>
        <v>244.68112853950066</v>
      </c>
      <c r="L580" s="13">
        <f t="shared" si="100"/>
        <v>13.75197800117771</v>
      </c>
      <c r="M580" s="10">
        <f t="shared" si="101"/>
        <v>-2.699634902048098</v>
      </c>
      <c r="N580" s="10">
        <f t="shared" si="99"/>
        <v>215.30190280971192</v>
      </c>
      <c r="P580" s="13">
        <f t="shared" si="104"/>
        <v>7.878218257047785</v>
      </c>
      <c r="Q580" s="13">
        <f t="shared" si="105"/>
        <v>0</v>
      </c>
    </row>
    <row r="581" spans="9:17" ht="12.75">
      <c r="I581" s="2">
        <f t="shared" si="103"/>
        <v>7875</v>
      </c>
      <c r="J581" s="13">
        <f t="shared" si="102"/>
        <v>-5.8804110949816675</v>
      </c>
      <c r="K581" s="10">
        <f t="shared" si="98"/>
        <v>244.58956150847396</v>
      </c>
      <c r="L581" s="13">
        <f t="shared" si="100"/>
        <v>13.76996419535389</v>
      </c>
      <c r="M581" s="10">
        <f t="shared" si="101"/>
        <v>-2.6816487078719184</v>
      </c>
      <c r="N581" s="10">
        <f t="shared" si="99"/>
        <v>215.17191072749065</v>
      </c>
      <c r="P581" s="13">
        <f t="shared" si="104"/>
        <v>7.889553100372222</v>
      </c>
      <c r="Q581" s="13">
        <f t="shared" si="105"/>
        <v>0</v>
      </c>
    </row>
    <row r="582" spans="9:17" ht="12.75">
      <c r="I582" s="2">
        <f t="shared" si="103"/>
        <v>7890</v>
      </c>
      <c r="J582" s="13">
        <f t="shared" si="102"/>
        <v>-5.88660522366977</v>
      </c>
      <c r="K582" s="10">
        <f t="shared" si="98"/>
        <v>244.49789078841735</v>
      </c>
      <c r="L582" s="13">
        <f t="shared" si="100"/>
        <v>13.787496461499627</v>
      </c>
      <c r="M582" s="10">
        <f t="shared" si="101"/>
        <v>-2.664116441726181</v>
      </c>
      <c r="N582" s="10">
        <f t="shared" si="99"/>
        <v>215.04278471157724</v>
      </c>
      <c r="P582" s="13">
        <f t="shared" si="104"/>
        <v>7.900891237829857</v>
      </c>
      <c r="Q582" s="13">
        <f t="shared" si="105"/>
        <v>0</v>
      </c>
    </row>
    <row r="583" spans="9:17" ht="12.75">
      <c r="I583" s="2">
        <f t="shared" si="103"/>
        <v>7905</v>
      </c>
      <c r="J583" s="13">
        <f t="shared" si="102"/>
        <v>-5.892356603396587</v>
      </c>
      <c r="K583" s="10">
        <f t="shared" si="98"/>
        <v>244.4061235070442</v>
      </c>
      <c r="L583" s="13">
        <f t="shared" si="100"/>
        <v>13.80458836712346</v>
      </c>
      <c r="M583" s="10">
        <f t="shared" si="101"/>
        <v>-2.8083148586829925</v>
      </c>
      <c r="N583" s="10">
        <f t="shared" si="99"/>
        <v>214.9145029045532</v>
      </c>
      <c r="P583" s="13">
        <f t="shared" si="104"/>
        <v>7.912231763726872</v>
      </c>
      <c r="Q583" s="13">
        <f t="shared" si="105"/>
        <v>0</v>
      </c>
    </row>
    <row r="584" spans="9:17" ht="12.75">
      <c r="I584" s="2">
        <f t="shared" si="103"/>
        <v>7920</v>
      </c>
      <c r="J584" s="13">
        <f t="shared" si="102"/>
        <v>-5.901314604828943</v>
      </c>
      <c r="K584" s="10">
        <f t="shared" si="98"/>
        <v>244.31426656644277</v>
      </c>
      <c r="L584" s="13">
        <f t="shared" si="100"/>
        <v>13.824888408024956</v>
      </c>
      <c r="M584" s="10">
        <f t="shared" si="101"/>
        <v>-2.7880148177814963</v>
      </c>
      <c r="N584" s="10">
        <f t="shared" si="99"/>
        <v>214.7792776947531</v>
      </c>
      <c r="P584" s="13">
        <f t="shared" si="104"/>
        <v>7.923573803196013</v>
      </c>
      <c r="Q584" s="13">
        <f t="shared" si="105"/>
        <v>0</v>
      </c>
    </row>
    <row r="585" spans="9:17" ht="12.75">
      <c r="I585" s="2">
        <f t="shared" si="103"/>
        <v>7935</v>
      </c>
      <c r="J585" s="13">
        <f t="shared" si="102"/>
        <v>-5.909742037154281</v>
      </c>
      <c r="K585" s="10">
        <f t="shared" si="98"/>
        <v>244.2222699780466</v>
      </c>
      <c r="L585" s="13">
        <f t="shared" si="100"/>
        <v>13.844665537096791</v>
      </c>
      <c r="M585" s="10">
        <f t="shared" si="101"/>
        <v>-2.768237688709661</v>
      </c>
      <c r="N585" s="10">
        <f t="shared" si="99"/>
        <v>214.64502996697618</v>
      </c>
      <c r="P585" s="13">
        <f t="shared" si="104"/>
        <v>7.93492349994251</v>
      </c>
      <c r="Q585" s="13">
        <f t="shared" si="105"/>
        <v>0</v>
      </c>
    </row>
    <row r="586" spans="9:17" ht="12.75">
      <c r="I586" s="2">
        <f t="shared" si="103"/>
        <v>7950</v>
      </c>
      <c r="J586" s="13">
        <f t="shared" si="102"/>
        <v>-5.917655613499881</v>
      </c>
      <c r="K586" s="10">
        <f t="shared" si="98"/>
        <v>244.13014201298694</v>
      </c>
      <c r="L586" s="13">
        <f t="shared" si="100"/>
        <v>13.863935411897533</v>
      </c>
      <c r="M586" s="10">
        <f t="shared" si="101"/>
        <v>-2.7489678139089193</v>
      </c>
      <c r="N586" s="10">
        <f t="shared" si="99"/>
        <v>214.51173454211494</v>
      </c>
      <c r="P586" s="13">
        <f t="shared" si="104"/>
        <v>7.946279798397652</v>
      </c>
      <c r="Q586" s="13">
        <f t="shared" si="105"/>
        <v>0</v>
      </c>
    </row>
    <row r="587" spans="9:17" ht="12.75">
      <c r="I587" s="2">
        <f t="shared" si="103"/>
        <v>7965</v>
      </c>
      <c r="J587" s="13">
        <f t="shared" si="102"/>
        <v>-5.925071536603213</v>
      </c>
      <c r="K587" s="10">
        <f t="shared" si="98"/>
        <v>244.03789068185134</v>
      </c>
      <c r="L587" s="13">
        <f t="shared" si="100"/>
        <v>13.882713215121784</v>
      </c>
      <c r="M587" s="10">
        <f t="shared" si="101"/>
        <v>-2.7301900106846677</v>
      </c>
      <c r="N587" s="10">
        <f t="shared" si="99"/>
        <v>214.37936699500025</v>
      </c>
      <c r="P587" s="13">
        <f t="shared" si="104"/>
        <v>7.957641678518571</v>
      </c>
      <c r="Q587" s="13">
        <f t="shared" si="105"/>
        <v>0</v>
      </c>
    </row>
    <row r="588" spans="9:17" ht="12.75">
      <c r="I588" s="2">
        <f t="shared" si="103"/>
        <v>7980</v>
      </c>
      <c r="J588" s="13">
        <f t="shared" si="102"/>
        <v>-5.932005514348317</v>
      </c>
      <c r="K588" s="10">
        <f t="shared" si="98"/>
        <v>243.94552374264006</v>
      </c>
      <c r="L588" s="13">
        <f t="shared" si="100"/>
        <v>13.901013669027412</v>
      </c>
      <c r="M588" s="10">
        <f t="shared" si="101"/>
        <v>-2.71188955677904</v>
      </c>
      <c r="N588" s="10">
        <f t="shared" si="99"/>
        <v>214.24790363153605</v>
      </c>
      <c r="P588" s="13">
        <f t="shared" si="104"/>
        <v>7.969008154679095</v>
      </c>
      <c r="Q588" s="13">
        <f t="shared" si="105"/>
        <v>0</v>
      </c>
    </row>
    <row r="589" spans="9:17" ht="12.75">
      <c r="I589" s="2">
        <f t="shared" si="103"/>
        <v>7995</v>
      </c>
      <c r="J589" s="13">
        <f t="shared" si="102"/>
        <v>-5.938472774830114</v>
      </c>
      <c r="K589" s="10">
        <f t="shared" si="98"/>
        <v>243.8530487084806</v>
      </c>
      <c r="L589" s="13">
        <f t="shared" si="100"/>
        <v>13.91885104942447</v>
      </c>
      <c r="M589" s="10">
        <f t="shared" si="101"/>
        <v>-2.694052176381982</v>
      </c>
      <c r="N589" s="10">
        <f t="shared" si="99"/>
        <v>214.11732146652832</v>
      </c>
      <c r="P589" s="13">
        <f t="shared" si="104"/>
        <v>7.980378274594356</v>
      </c>
      <c r="Q589" s="13">
        <f t="shared" si="105"/>
        <v>0</v>
      </c>
    </row>
    <row r="590" spans="9:17" ht="12.75">
      <c r="I590" s="2">
        <f t="shared" si="103"/>
        <v>8010</v>
      </c>
      <c r="J590" s="13">
        <f t="shared" si="102"/>
        <v>-5.9444880809604905</v>
      </c>
      <c r="K590" s="10">
        <f t="shared" si="98"/>
        <v>243.76047285510703</v>
      </c>
      <c r="L590" s="13">
        <f t="shared" si="100"/>
        <v>13.936239199238681</v>
      </c>
      <c r="M590" s="10">
        <f t="shared" si="101"/>
        <v>-2.837954349148415</v>
      </c>
      <c r="N590" s="10">
        <f t="shared" si="99"/>
        <v>213.98759820218802</v>
      </c>
      <c r="P590" s="13">
        <f t="shared" si="104"/>
        <v>7.991751118278191</v>
      </c>
      <c r="Q590" s="13">
        <f t="shared" si="105"/>
        <v>0</v>
      </c>
    </row>
    <row r="591" spans="9:17" ht="12.75">
      <c r="I591" s="2">
        <f t="shared" si="103"/>
        <v>8025</v>
      </c>
      <c r="J591" s="13">
        <f t="shared" si="102"/>
        <v>-5.953701084332792</v>
      </c>
      <c r="K591" s="10">
        <f aca="true" t="shared" si="106" ref="K591:K654">MAX(D$8,K590+J590*I$41/VLOOKUP(K590,E$44:G$251,3,TRUE))</f>
        <v>243.66780322811195</v>
      </c>
      <c r="L591" s="13">
        <f t="shared" si="100"/>
        <v>13.956826881365128</v>
      </c>
      <c r="M591" s="10">
        <f t="shared" si="101"/>
        <v>-2.817366667021968</v>
      </c>
      <c r="N591" s="10">
        <f aca="true" t="shared" si="107" ref="N591:N654">N590+M590*I$41/VLOOKUP(N590,A$44:C$251,3,TRUE)</f>
        <v>213.850945799741</v>
      </c>
      <c r="P591" s="13">
        <f t="shared" si="104"/>
        <v>8.003125797032336</v>
      </c>
      <c r="Q591" s="13">
        <f t="shared" si="105"/>
        <v>0</v>
      </c>
    </row>
    <row r="592" spans="9:17" ht="12.75">
      <c r="I592" s="2">
        <f t="shared" si="103"/>
        <v>8040</v>
      </c>
      <c r="J592" s="13">
        <f t="shared" si="102"/>
        <v>-5.962374907981351</v>
      </c>
      <c r="K592" s="10">
        <f t="shared" si="106"/>
        <v>243.5749899780539</v>
      </c>
      <c r="L592" s="13">
        <f t="shared" si="100"/>
        <v>13.976883307721947</v>
      </c>
      <c r="M592" s="10">
        <f t="shared" si="101"/>
        <v>-2.7973102406651495</v>
      </c>
      <c r="N592" s="10">
        <f t="shared" si="107"/>
        <v>213.71528472973884</v>
      </c>
      <c r="P592" s="13">
        <f t="shared" si="104"/>
        <v>8.014508399740595</v>
      </c>
      <c r="Q592" s="13">
        <f t="shared" si="105"/>
        <v>0</v>
      </c>
    </row>
    <row r="593" spans="9:17" ht="12.75">
      <c r="I593" s="2">
        <f t="shared" si="103"/>
        <v>8055</v>
      </c>
      <c r="J593" s="13">
        <f t="shared" si="102"/>
        <v>-5.970526527548671</v>
      </c>
      <c r="K593" s="10">
        <f t="shared" si="106"/>
        <v>243.4820415102965</v>
      </c>
      <c r="L593" s="13">
        <f t="shared" si="100"/>
        <v>13.996424386764845</v>
      </c>
      <c r="M593" s="10">
        <f t="shared" si="101"/>
        <v>-2.777769161622251</v>
      </c>
      <c r="N593" s="10">
        <f t="shared" si="107"/>
        <v>213.5805894112989</v>
      </c>
      <c r="P593" s="13">
        <f t="shared" si="104"/>
        <v>8.025897859216174</v>
      </c>
      <c r="Q593" s="13">
        <f t="shared" si="105"/>
        <v>0</v>
      </c>
    </row>
    <row r="594" spans="9:17" ht="12.75">
      <c r="I594" s="2">
        <f t="shared" si="103"/>
        <v>8070</v>
      </c>
      <c r="J594" s="13">
        <f t="shared" si="102"/>
        <v>-5.978172400338707</v>
      </c>
      <c r="K594" s="10">
        <f t="shared" si="106"/>
        <v>243.38896596556722</v>
      </c>
      <c r="L594" s="13">
        <f t="shared" si="100"/>
        <v>14.015465544514916</v>
      </c>
      <c r="M594" s="10">
        <f t="shared" si="101"/>
        <v>-2.7587280038721804</v>
      </c>
      <c r="N594" s="10">
        <f t="shared" si="107"/>
        <v>213.4468350295581</v>
      </c>
      <c r="P594" s="13">
        <f t="shared" si="104"/>
        <v>8.037293144176209</v>
      </c>
      <c r="Q594" s="13">
        <f t="shared" si="105"/>
        <v>0</v>
      </c>
    </row>
    <row r="595" spans="9:17" ht="12.75">
      <c r="I595" s="2">
        <f t="shared" si="103"/>
        <v>8085</v>
      </c>
      <c r="J595" s="13">
        <f t="shared" si="102"/>
        <v>-5.9853284810936955</v>
      </c>
      <c r="K595" s="10">
        <f t="shared" si="106"/>
        <v>243.29577122803784</v>
      </c>
      <c r="L595" s="13">
        <f t="shared" si="100"/>
        <v>14.034021739214634</v>
      </c>
      <c r="M595" s="10">
        <f t="shared" si="101"/>
        <v>-2.7401718091724625</v>
      </c>
      <c r="N595" s="10">
        <f t="shared" si="107"/>
        <v>213.31399751244294</v>
      </c>
      <c r="P595" s="13">
        <f t="shared" si="104"/>
        <v>8.048693258120938</v>
      </c>
      <c r="Q595" s="13">
        <f t="shared" si="105"/>
        <v>0</v>
      </c>
    </row>
    <row r="596" spans="9:17" ht="12.75">
      <c r="I596" s="2">
        <f t="shared" si="103"/>
        <v>8100</v>
      </c>
      <c r="J596" s="13">
        <f t="shared" si="102"/>
        <v>-5.9920102372913995</v>
      </c>
      <c r="K596" s="10">
        <f t="shared" si="106"/>
        <v>243.20246493315898</v>
      </c>
      <c r="L596" s="13">
        <f t="shared" si="100"/>
        <v>14.052107475538405</v>
      </c>
      <c r="M596" s="10">
        <f t="shared" si="101"/>
        <v>-2.7220860728486915</v>
      </c>
      <c r="N596" s="10">
        <f t="shared" si="107"/>
        <v>213.18205350814512</v>
      </c>
      <c r="P596" s="13">
        <f t="shared" si="104"/>
        <v>8.060097238247005</v>
      </c>
      <c r="Q596" s="13">
        <f t="shared" si="105"/>
        <v>0</v>
      </c>
    </row>
    <row r="597" spans="9:17" ht="12.75">
      <c r="I597" s="2">
        <f t="shared" si="103"/>
        <v>8115</v>
      </c>
      <c r="J597" s="13">
        <f t="shared" si="102"/>
        <v>-5.998232663977262</v>
      </c>
      <c r="K597" s="10">
        <f t="shared" si="106"/>
        <v>243.10905447525613</v>
      </c>
      <c r="L597" s="13">
        <f t="shared" si="100"/>
        <v>14.06973681837112</v>
      </c>
      <c r="M597" s="10">
        <f t="shared" si="101"/>
        <v>-2.704456730015977</v>
      </c>
      <c r="N597" s="10">
        <f t="shared" si="107"/>
        <v>213.05098036328147</v>
      </c>
      <c r="P597" s="13">
        <f t="shared" si="104"/>
        <v>8.071504154393857</v>
      </c>
      <c r="Q597" s="13">
        <f t="shared" si="105"/>
        <v>0</v>
      </c>
    </row>
    <row r="598" spans="9:17" ht="12.75">
      <c r="I598" s="2">
        <f t="shared" si="103"/>
        <v>8130</v>
      </c>
      <c r="J598" s="13">
        <f t="shared" si="102"/>
        <v>-6.004010298145797</v>
      </c>
      <c r="K598" s="10">
        <f t="shared" si="106"/>
        <v>243.0155470148945</v>
      </c>
      <c r="L598" s="13">
        <f t="shared" si="100"/>
        <v>14.086923406168069</v>
      </c>
      <c r="M598" s="10">
        <f t="shared" si="101"/>
        <v>-2.848560464799675</v>
      </c>
      <c r="N598" s="10">
        <f t="shared" si="107"/>
        <v>212.92075610171727</v>
      </c>
      <c r="P598" s="13">
        <f t="shared" si="104"/>
        <v>8.082913108022272</v>
      </c>
      <c r="Q598" s="13">
        <f t="shared" si="105"/>
        <v>0</v>
      </c>
    </row>
    <row r="599" spans="9:17" ht="12.75">
      <c r="I599" s="2">
        <f t="shared" si="103"/>
        <v>8145</v>
      </c>
      <c r="J599" s="13">
        <f t="shared" si="102"/>
        <v>-6.012992572386869</v>
      </c>
      <c r="K599" s="10">
        <f t="shared" si="106"/>
        <v>242.92194948601968</v>
      </c>
      <c r="L599" s="13">
        <f t="shared" si="100"/>
        <v>14.107315803610971</v>
      </c>
      <c r="M599" s="10">
        <f t="shared" si="101"/>
        <v>-2.8281680673567724</v>
      </c>
      <c r="N599" s="10">
        <f t="shared" si="107"/>
        <v>212.78359299648716</v>
      </c>
      <c r="P599" s="13">
        <f t="shared" si="104"/>
        <v>8.094323231224102</v>
      </c>
      <c r="Q599" s="13">
        <f t="shared" si="105"/>
        <v>0</v>
      </c>
    </row>
    <row r="600" spans="9:17" ht="12.75">
      <c r="I600" s="2">
        <f t="shared" si="103"/>
        <v>8160</v>
      </c>
      <c r="J600" s="13">
        <f t="shared" si="102"/>
        <v>-6.021442444968171</v>
      </c>
      <c r="K600" s="10">
        <f t="shared" si="106"/>
        <v>242.8282119309572</v>
      </c>
      <c r="L600" s="13">
        <f t="shared" si="100"/>
        <v>14.127183030470212</v>
      </c>
      <c r="M600" s="10">
        <f t="shared" si="101"/>
        <v>-2.808300840497532</v>
      </c>
      <c r="N600" s="10">
        <f t="shared" si="107"/>
        <v>212.6474118204072</v>
      </c>
      <c r="P600" s="13">
        <f t="shared" si="104"/>
        <v>8.10574058550204</v>
      </c>
      <c r="Q600" s="13">
        <f t="shared" si="105"/>
        <v>0</v>
      </c>
    </row>
    <row r="601" spans="9:17" ht="12.75">
      <c r="I601" s="2">
        <f t="shared" si="103"/>
        <v>8175</v>
      </c>
      <c r="J601" s="13">
        <f t="shared" si="102"/>
        <v>-6.029376683848366</v>
      </c>
      <c r="K601" s="10">
        <f t="shared" si="106"/>
        <v>242.73434264940633</v>
      </c>
      <c r="L601" s="13">
        <f t="shared" si="100"/>
        <v>14.146540808586956</v>
      </c>
      <c r="M601" s="10">
        <f t="shared" si="101"/>
        <v>-2.7889430623807883</v>
      </c>
      <c r="N601" s="10">
        <f t="shared" si="107"/>
        <v>212.51218728560693</v>
      </c>
      <c r="P601" s="13">
        <f t="shared" si="104"/>
        <v>8.11716412473859</v>
      </c>
      <c r="Q601" s="13">
        <f t="shared" si="105"/>
        <v>0</v>
      </c>
    </row>
    <row r="602" spans="9:17" ht="12.75">
      <c r="I602" s="2">
        <f t="shared" si="103"/>
        <v>8190</v>
      </c>
      <c r="J602" s="13">
        <f t="shared" si="102"/>
        <v>-6.036811545013203</v>
      </c>
      <c r="K602" s="10">
        <f t="shared" si="106"/>
        <v>242.64034967966776</v>
      </c>
      <c r="L602" s="13">
        <f t="shared" si="100"/>
        <v>14.165404383089307</v>
      </c>
      <c r="M602" s="10">
        <f t="shared" si="101"/>
        <v>-2.770079487878437</v>
      </c>
      <c r="N602" s="10">
        <f t="shared" si="107"/>
        <v>212.3778948612497</v>
      </c>
      <c r="P602" s="13">
        <f t="shared" si="104"/>
        <v>8.128592838076104</v>
      </c>
      <c r="Q602" s="13">
        <f t="shared" si="105"/>
        <v>0</v>
      </c>
    </row>
    <row r="603" spans="9:17" ht="12.75">
      <c r="I603" s="2">
        <f t="shared" si="103"/>
        <v>8205</v>
      </c>
      <c r="J603" s="13">
        <f t="shared" si="102"/>
        <v>-6.043762788057551</v>
      </c>
      <c r="K603" s="10">
        <f t="shared" si="106"/>
        <v>242.5462408066249</v>
      </c>
      <c r="L603" s="13">
        <f t="shared" si="100"/>
        <v>14.183788536872974</v>
      </c>
      <c r="M603" s="10">
        <f t="shared" si="101"/>
        <v>-2.7516953340947694</v>
      </c>
      <c r="N603" s="10">
        <f t="shared" si="107"/>
        <v>212.2445107505781</v>
      </c>
      <c r="P603" s="13">
        <f t="shared" si="104"/>
        <v>8.140025748815424</v>
      </c>
      <c r="Q603" s="13">
        <f t="shared" si="105"/>
        <v>0</v>
      </c>
    </row>
    <row r="604" spans="9:17" ht="12.75">
      <c r="I604" s="2">
        <f t="shared" si="103"/>
        <v>8220</v>
      </c>
      <c r="J604" s="13">
        <f t="shared" si="102"/>
        <v>-6.0502456912937035</v>
      </c>
      <c r="K604" s="10">
        <f t="shared" si="106"/>
        <v>242.45202356948215</v>
      </c>
      <c r="L604" s="13">
        <f t="shared" si="100"/>
        <v>14.201707604641737</v>
      </c>
      <c r="M604" s="10">
        <f t="shared" si="101"/>
        <v>-2.7337762663260072</v>
      </c>
      <c r="N604" s="10">
        <f t="shared" si="107"/>
        <v>212.11201186865662</v>
      </c>
      <c r="P604" s="13">
        <f t="shared" si="104"/>
        <v>8.151461913348033</v>
      </c>
      <c r="Q604" s="13">
        <f t="shared" si="105"/>
        <v>0</v>
      </c>
    </row>
    <row r="605" spans="9:17" ht="12.75">
      <c r="I605" s="2">
        <f t="shared" si="103"/>
        <v>8235</v>
      </c>
      <c r="J605" s="13">
        <f t="shared" si="102"/>
        <v>-6.05627506640044</v>
      </c>
      <c r="K605" s="10">
        <f t="shared" si="106"/>
        <v>242.3577052692678</v>
      </c>
      <c r="L605" s="13">
        <f t="shared" si="100"/>
        <v>14.21917548652125</v>
      </c>
      <c r="M605" s="10">
        <f t="shared" si="101"/>
        <v>-2.877598707027138</v>
      </c>
      <c r="N605" s="10">
        <f t="shared" si="107"/>
        <v>211.98037582079058</v>
      </c>
      <c r="P605" s="13">
        <f t="shared" si="104"/>
        <v>8.16290042012081</v>
      </c>
      <c r="Q605" s="13">
        <f t="shared" si="105"/>
        <v>0</v>
      </c>
    </row>
    <row r="606" spans="9:17" ht="12.75">
      <c r="I606" s="2">
        <f t="shared" si="103"/>
        <v>8250</v>
      </c>
      <c r="J606" s="13">
        <f t="shared" si="102"/>
        <v>-6.065500612329027</v>
      </c>
      <c r="K606" s="10">
        <f t="shared" si="106"/>
        <v>242.2632929761083</v>
      </c>
      <c r="L606" s="13">
        <f t="shared" si="100"/>
        <v>14.239841000961375</v>
      </c>
      <c r="M606" s="10">
        <f t="shared" si="101"/>
        <v>-2.8569331925870127</v>
      </c>
      <c r="N606" s="10">
        <f t="shared" si="107"/>
        <v>211.84181447405444</v>
      </c>
      <c r="P606" s="13">
        <f t="shared" si="104"/>
        <v>8.174340388632348</v>
      </c>
      <c r="Q606" s="13">
        <f t="shared" si="105"/>
        <v>0</v>
      </c>
    </row>
    <row r="607" spans="9:17" ht="12.75">
      <c r="I607" s="2">
        <f t="shared" si="103"/>
        <v>8265</v>
      </c>
      <c r="J607" s="13">
        <f t="shared" si="102"/>
        <v>-6.074185587372474</v>
      </c>
      <c r="K607" s="10">
        <f t="shared" si="106"/>
        <v>242.16873686435775</v>
      </c>
      <c r="L607" s="13">
        <f t="shared" si="100"/>
        <v>14.259973413837322</v>
      </c>
      <c r="M607" s="10">
        <f t="shared" si="101"/>
        <v>-2.8368007797110657</v>
      </c>
      <c r="N607" s="10">
        <f t="shared" si="107"/>
        <v>211.70424820752348</v>
      </c>
      <c r="P607" s="13">
        <f t="shared" si="104"/>
        <v>8.185787826464848</v>
      </c>
      <c r="Q607" s="13">
        <f t="shared" si="105"/>
        <v>0</v>
      </c>
    </row>
    <row r="608" spans="9:17" ht="12.75">
      <c r="I608" s="2">
        <f t="shared" si="103"/>
        <v>8280</v>
      </c>
      <c r="J608" s="13">
        <f t="shared" si="102"/>
        <v>-6.0823470083035645</v>
      </c>
      <c r="K608" s="10">
        <f t="shared" si="106"/>
        <v>242.0740453610669</v>
      </c>
      <c r="L608" s="13">
        <f t="shared" si="100"/>
        <v>14.279588685358771</v>
      </c>
      <c r="M608" s="10">
        <f t="shared" si="101"/>
        <v>-2.817185508189617</v>
      </c>
      <c r="N608" s="10">
        <f t="shared" si="107"/>
        <v>211.5676513514368</v>
      </c>
      <c r="P608" s="13">
        <f t="shared" si="104"/>
        <v>8.197241677055207</v>
      </c>
      <c r="Q608" s="13">
        <f t="shared" si="105"/>
        <v>0</v>
      </c>
    </row>
    <row r="609" spans="9:17" ht="12.75">
      <c r="I609" s="2">
        <f t="shared" si="103"/>
        <v>8295</v>
      </c>
      <c r="J609" s="13">
        <f t="shared" si="102"/>
        <v>-6.090001372393264</v>
      </c>
      <c r="K609" s="10">
        <f t="shared" si="106"/>
        <v>241.97922662800906</v>
      </c>
      <c r="L609" s="13">
        <f t="shared" si="100"/>
        <v>14.298702291834125</v>
      </c>
      <c r="M609" s="10">
        <f t="shared" si="101"/>
        <v>-2.7980719017142626</v>
      </c>
      <c r="N609" s="10">
        <f t="shared" si="107"/>
        <v>211.43199900454525</v>
      </c>
      <c r="P609" s="13">
        <f t="shared" si="104"/>
        <v>8.208700919440862</v>
      </c>
      <c r="Q609" s="13">
        <f t="shared" si="105"/>
        <v>0</v>
      </c>
    </row>
    <row r="610" spans="9:17" ht="12.75">
      <c r="I610" s="2">
        <f t="shared" si="103"/>
        <v>8310</v>
      </c>
      <c r="J610" s="13">
        <f t="shared" si="102"/>
        <v>-6.097164673220227</v>
      </c>
      <c r="K610" s="10">
        <f t="shared" si="106"/>
        <v>241.88428856977882</v>
      </c>
      <c r="L610" s="13">
        <f t="shared" si="100"/>
        <v>14.317329240368116</v>
      </c>
      <c r="M610" s="10">
        <f t="shared" si="101"/>
        <v>-2.7794449531802723</v>
      </c>
      <c r="N610" s="10">
        <f t="shared" si="107"/>
        <v>211.29726701081057</v>
      </c>
      <c r="P610" s="13">
        <f t="shared" si="104"/>
        <v>8.220164567147888</v>
      </c>
      <c r="Q610" s="13">
        <f t="shared" si="105"/>
        <v>0</v>
      </c>
    </row>
    <row r="611" spans="9:17" ht="12.75">
      <c r="I611" s="2">
        <f t="shared" si="103"/>
        <v>8325</v>
      </c>
      <c r="J611" s="13">
        <f t="shared" si="102"/>
        <v>-6.103852415999739</v>
      </c>
      <c r="K611" s="10">
        <f t="shared" si="106"/>
        <v>241.7892388416442</v>
      </c>
      <c r="L611" s="13">
        <f t="shared" si="100"/>
        <v>14.3354840831127</v>
      </c>
      <c r="M611" s="10">
        <f t="shared" si="101"/>
        <v>-2.761290110435688</v>
      </c>
      <c r="N611" s="10">
        <f t="shared" si="107"/>
        <v>211.16343193681251</v>
      </c>
      <c r="P611" s="13">
        <f t="shared" si="104"/>
        <v>8.23163166711296</v>
      </c>
      <c r="Q611" s="13">
        <f t="shared" si="105"/>
        <v>0</v>
      </c>
    </row>
    <row r="612" spans="9:17" ht="12.75">
      <c r="I612" s="2">
        <f t="shared" si="103"/>
        <v>8340</v>
      </c>
      <c r="J612" s="13">
        <f t="shared" si="102"/>
        <v>-6.110079632446665</v>
      </c>
      <c r="K612" s="10">
        <f t="shared" si="106"/>
        <v>241.69408485715974</v>
      </c>
      <c r="L612" s="13">
        <f t="shared" si="100"/>
        <v>14.353180931084836</v>
      </c>
      <c r="M612" s="10">
        <f t="shared" si="101"/>
        <v>-2.743593262463552</v>
      </c>
      <c r="N612" s="10">
        <f t="shared" si="107"/>
        <v>211.03047104984213</v>
      </c>
      <c r="P612" s="13">
        <f t="shared" si="104"/>
        <v>8.243101298638171</v>
      </c>
      <c r="Q612" s="13">
        <f t="shared" si="105"/>
        <v>0</v>
      </c>
    </row>
    <row r="613" spans="9:17" ht="12.75">
      <c r="I613" s="2">
        <f t="shared" si="103"/>
        <v>8355</v>
      </c>
      <c r="J613" s="13">
        <f t="shared" si="102"/>
        <v>-6.1158608951868025</v>
      </c>
      <c r="K613" s="10">
        <f t="shared" si="106"/>
        <v>241.59883379554813</v>
      </c>
      <c r="L613" s="13">
        <f t="shared" si="100"/>
        <v>14.37043346756454</v>
      </c>
      <c r="M613" s="10">
        <f t="shared" si="101"/>
        <v>-2.887631048564492</v>
      </c>
      <c r="N613" s="10">
        <f t="shared" si="107"/>
        <v>210.89836229666025</v>
      </c>
      <c r="P613" s="13">
        <f t="shared" si="104"/>
        <v>8.254572572377738</v>
      </c>
      <c r="Q613" s="13">
        <f t="shared" si="105"/>
        <v>0</v>
      </c>
    </row>
    <row r="614" spans="9:17" ht="12.75">
      <c r="I614" s="2">
        <f t="shared" si="103"/>
        <v>8370</v>
      </c>
      <c r="J614" s="13">
        <f t="shared" si="102"/>
        <v>-6.124845671432265</v>
      </c>
      <c r="K614" s="10">
        <f t="shared" si="106"/>
        <v>241.50349260885687</v>
      </c>
      <c r="L614" s="13">
        <f t="shared" si="100"/>
        <v>14.390890300787936</v>
      </c>
      <c r="M614" s="10">
        <f t="shared" si="101"/>
        <v>-2.8671742153410964</v>
      </c>
      <c r="N614" s="10">
        <f t="shared" si="107"/>
        <v>210.75931787535538</v>
      </c>
      <c r="P614" s="13">
        <f t="shared" si="104"/>
        <v>8.26604462935567</v>
      </c>
      <c r="Q614" s="13">
        <f t="shared" si="105"/>
        <v>0</v>
      </c>
    </row>
    <row r="615" spans="9:17" ht="12.75">
      <c r="I615" s="2">
        <f t="shared" si="103"/>
        <v>8385</v>
      </c>
      <c r="J615" s="13">
        <f t="shared" si="102"/>
        <v>-6.133297042688145</v>
      </c>
      <c r="K615" s="10">
        <f t="shared" si="106"/>
        <v>241.40801135697382</v>
      </c>
      <c r="L615" s="13">
        <f t="shared" si="100"/>
        <v>14.410820492845511</v>
      </c>
      <c r="M615" s="10">
        <f t="shared" si="101"/>
        <v>-2.8472440232835208</v>
      </c>
      <c r="N615" s="10">
        <f t="shared" si="107"/>
        <v>210.62125848589477</v>
      </c>
      <c r="P615" s="13">
        <f t="shared" si="104"/>
        <v>8.277523450157366</v>
      </c>
      <c r="Q615" s="13">
        <f t="shared" si="105"/>
        <v>0</v>
      </c>
    </row>
    <row r="616" spans="9:17" ht="12.75">
      <c r="I616" s="2">
        <f t="shared" si="103"/>
        <v>8400</v>
      </c>
      <c r="J616" s="13">
        <f t="shared" si="102"/>
        <v>-6.141231806054947</v>
      </c>
      <c r="K616" s="10">
        <f t="shared" si="106"/>
        <v>241.31239835523925</v>
      </c>
      <c r="L616" s="13">
        <f t="shared" si="100"/>
        <v>14.430239806045376</v>
      </c>
      <c r="M616" s="10">
        <f t="shared" si="101"/>
        <v>-2.8278247100836555</v>
      </c>
      <c r="N616" s="10">
        <f t="shared" si="107"/>
        <v>210.48415876959686</v>
      </c>
      <c r="P616" s="13">
        <f t="shared" si="104"/>
        <v>8.28900799999043</v>
      </c>
      <c r="Q616" s="13">
        <f t="shared" si="105"/>
        <v>0</v>
      </c>
    </row>
    <row r="617" spans="9:17" ht="12.75">
      <c r="I617" s="2">
        <f t="shared" si="103"/>
        <v>8415</v>
      </c>
      <c r="J617" s="13">
        <f t="shared" si="102"/>
        <v>-6.148666245862216</v>
      </c>
      <c r="K617" s="10">
        <f t="shared" si="106"/>
        <v>241.2166616571407</v>
      </c>
      <c r="L617" s="13">
        <f t="shared" si="100"/>
        <v>14.449163524857877</v>
      </c>
      <c r="M617" s="10">
        <f t="shared" si="101"/>
        <v>-2.8089009912711553</v>
      </c>
      <c r="N617" s="10">
        <f t="shared" si="107"/>
        <v>210.3479941267625</v>
      </c>
      <c r="P617" s="13">
        <f t="shared" si="104"/>
        <v>8.30049727899566</v>
      </c>
      <c r="Q617" s="13">
        <f t="shared" si="105"/>
        <v>0</v>
      </c>
    </row>
    <row r="618" spans="9:17" ht="12.75">
      <c r="I618" s="2">
        <f t="shared" si="103"/>
        <v>8430</v>
      </c>
      <c r="J618" s="13">
        <f t="shared" si="102"/>
        <v>-6.155616149272037</v>
      </c>
      <c r="K618" s="10">
        <f t="shared" si="106"/>
        <v>241.12080906230645</v>
      </c>
      <c r="L618" s="13">
        <f t="shared" si="100"/>
        <v>14.467606470427375</v>
      </c>
      <c r="M618" s="10">
        <f t="shared" si="101"/>
        <v>-2.790458045701657</v>
      </c>
      <c r="N618" s="10">
        <f t="shared" si="107"/>
        <v>210.21274069366615</v>
      </c>
      <c r="P618" s="13">
        <f t="shared" si="104"/>
        <v>8.311990321155339</v>
      </c>
      <c r="Q618" s="13">
        <f t="shared" si="105"/>
        <v>0</v>
      </c>
    </row>
    <row r="619" spans="9:17" ht="12.75">
      <c r="I619" s="2">
        <f t="shared" si="103"/>
        <v>8445</v>
      </c>
      <c r="J619" s="13">
        <f t="shared" si="102"/>
        <v>-6.162096821408285</v>
      </c>
      <c r="K619" s="10">
        <f t="shared" si="106"/>
        <v>241.02484812425612</v>
      </c>
      <c r="L619" s="13">
        <f t="shared" si="100"/>
        <v>14.48558301464306</v>
      </c>
      <c r="M619" s="10">
        <f t="shared" si="101"/>
        <v>-2.772481501485972</v>
      </c>
      <c r="N619" s="10">
        <f t="shared" si="107"/>
        <v>210.07837532024595</v>
      </c>
      <c r="P619" s="13">
        <f t="shared" si="104"/>
        <v>8.323486193234775</v>
      </c>
      <c r="Q619" s="13">
        <f t="shared" si="105"/>
        <v>0</v>
      </c>
    </row>
    <row r="620" spans="9:17" ht="12.75">
      <c r="I620" s="2">
        <f t="shared" si="103"/>
        <v>8460</v>
      </c>
      <c r="J620" s="13">
        <f t="shared" si="102"/>
        <v>-6.168123100026062</v>
      </c>
      <c r="K620" s="10">
        <f t="shared" si="106"/>
        <v>240.92878615791517</v>
      </c>
      <c r="L620" s="13">
        <f aca="true" t="shared" si="108" ref="L620:L683">(K620-N620)/D$12</f>
        <v>14.503107093782203</v>
      </c>
      <c r="M620" s="10">
        <f t="shared" si="101"/>
        <v>-2.916247744927473</v>
      </c>
      <c r="N620" s="10">
        <f t="shared" si="107"/>
        <v>209.94487554847137</v>
      </c>
      <c r="P620" s="13">
        <f t="shared" si="104"/>
        <v>8.334983993756142</v>
      </c>
      <c r="Q620" s="13">
        <f t="shared" si="105"/>
        <v>0</v>
      </c>
    </row>
    <row r="621" spans="9:17" ht="12.75">
      <c r="I621" s="2">
        <f t="shared" si="103"/>
        <v>8475</v>
      </c>
      <c r="J621" s="13">
        <f t="shared" si="102"/>
        <v>-6.177344709437602</v>
      </c>
      <c r="K621" s="10">
        <f t="shared" si="106"/>
        <v>240.83263024690075</v>
      </c>
      <c r="L621" s="13">
        <f t="shared" si="108"/>
        <v>14.523827561441234</v>
      </c>
      <c r="M621" s="10">
        <f t="shared" si="101"/>
        <v>-2.8955272772684424</v>
      </c>
      <c r="N621" s="10">
        <f t="shared" si="107"/>
        <v>209.80445318382175</v>
      </c>
      <c r="P621" s="13">
        <f t="shared" si="104"/>
        <v>8.346482852003632</v>
      </c>
      <c r="Q621" s="13">
        <f t="shared" si="105"/>
        <v>0</v>
      </c>
    </row>
    <row r="622" spans="9:17" ht="12.75">
      <c r="I622" s="2">
        <f t="shared" si="103"/>
        <v>8490</v>
      </c>
      <c r="J622" s="13">
        <f t="shared" si="102"/>
        <v>-6.186025022470467</v>
      </c>
      <c r="K622" s="10">
        <f t="shared" si="106"/>
        <v>240.73633057866235</v>
      </c>
      <c r="L622" s="13">
        <f t="shared" si="108"/>
        <v>14.54401371766464</v>
      </c>
      <c r="M622" s="10">
        <f aca="true" t="shared" si="109" ref="M622:M685">L622-VLOOKUP(N622,A$44:C$251,2,TRUE)</f>
        <v>-2.875341121045036</v>
      </c>
      <c r="N622" s="10">
        <f t="shared" si="107"/>
        <v>209.6650285454697</v>
      </c>
      <c r="P622" s="13">
        <f t="shared" si="104"/>
        <v>8.357988695194173</v>
      </c>
      <c r="Q622" s="13">
        <f t="shared" si="105"/>
        <v>0</v>
      </c>
    </row>
    <row r="623" spans="9:17" ht="12.75">
      <c r="I623" s="2">
        <f t="shared" si="103"/>
        <v>8505</v>
      </c>
      <c r="J623" s="13">
        <f t="shared" si="102"/>
        <v>-6.1941810763245115</v>
      </c>
      <c r="K623" s="10">
        <f t="shared" si="106"/>
        <v>240.6398955915605</v>
      </c>
      <c r="L623" s="13">
        <f t="shared" si="108"/>
        <v>14.563681555225493</v>
      </c>
      <c r="M623" s="10">
        <f t="shared" si="109"/>
        <v>-2.855673283484183</v>
      </c>
      <c r="N623" s="10">
        <f t="shared" si="107"/>
        <v>209.52657590539695</v>
      </c>
      <c r="P623" s="13">
        <f t="shared" si="104"/>
        <v>8.369500478900981</v>
      </c>
      <c r="Q623" s="13">
        <f t="shared" si="105"/>
        <v>0</v>
      </c>
    </row>
    <row r="624" spans="9:17" ht="12.75">
      <c r="I624" s="2">
        <f t="shared" si="103"/>
        <v>8520</v>
      </c>
      <c r="J624" s="13">
        <f t="shared" si="102"/>
        <v>-6.201829388167649</v>
      </c>
      <c r="K624" s="10">
        <f t="shared" si="106"/>
        <v>240.5433334583599</v>
      </c>
      <c r="L624" s="13">
        <f t="shared" si="108"/>
        <v>14.582846582112564</v>
      </c>
      <c r="M624" s="10">
        <f t="shared" si="109"/>
        <v>-2.836508256597112</v>
      </c>
      <c r="N624" s="10">
        <f t="shared" si="107"/>
        <v>209.3890703056649</v>
      </c>
      <c r="P624" s="13">
        <f t="shared" si="104"/>
        <v>8.381017193944915</v>
      </c>
      <c r="Q624" s="13">
        <f t="shared" si="105"/>
        <v>0</v>
      </c>
    </row>
    <row r="625" spans="9:17" ht="12.75">
      <c r="I625" s="2">
        <f t="shared" si="103"/>
        <v>8535</v>
      </c>
      <c r="J625" s="13">
        <f t="shared" si="102"/>
        <v>-6.208985970958732</v>
      </c>
      <c r="K625" s="10">
        <f t="shared" si="106"/>
        <v>240.44665209433643</v>
      </c>
      <c r="L625" s="13">
        <f t="shared" si="108"/>
        <v>14.601523836251772</v>
      </c>
      <c r="M625" s="10">
        <f t="shared" si="109"/>
        <v>-2.817831002457904</v>
      </c>
      <c r="N625" s="10">
        <f t="shared" si="107"/>
        <v>209.25248753507128</v>
      </c>
      <c r="P625" s="13">
        <f t="shared" si="104"/>
        <v>8.39253786529304</v>
      </c>
      <c r="Q625" s="13">
        <f t="shared" si="105"/>
        <v>0</v>
      </c>
    </row>
    <row r="626" spans="9:17" ht="12.75">
      <c r="I626" s="2">
        <f t="shared" si="103"/>
        <v>8550</v>
      </c>
      <c r="J626" s="13">
        <f t="shared" si="102"/>
        <v>-6.215666348789313</v>
      </c>
      <c r="K626" s="10">
        <f t="shared" si="106"/>
        <v>240.34985916513713</v>
      </c>
      <c r="L626" s="13">
        <f t="shared" si="108"/>
        <v>14.619727899780072</v>
      </c>
      <c r="M626" s="10">
        <f t="shared" si="109"/>
        <v>-2.7996269389296042</v>
      </c>
      <c r="N626" s="10">
        <f t="shared" si="107"/>
        <v>209.11680410651607</v>
      </c>
      <c r="P626" s="13">
        <f t="shared" si="104"/>
        <v>8.40406155099076</v>
      </c>
      <c r="Q626" s="13">
        <f t="shared" si="105"/>
        <v>0</v>
      </c>
    </row>
    <row r="627" spans="9:17" ht="12.75">
      <c r="I627" s="2">
        <f t="shared" si="103"/>
        <v>8565</v>
      </c>
      <c r="J627" s="13">
        <f t="shared" si="102"/>
        <v>-6.22188557175946</v>
      </c>
      <c r="K627" s="10">
        <f t="shared" si="106"/>
        <v>240.25296209440145</v>
      </c>
      <c r="L627" s="13">
        <f t="shared" si="108"/>
        <v>14.637472912885926</v>
      </c>
      <c r="M627" s="10">
        <f t="shared" si="109"/>
        <v>-2.943172248404398</v>
      </c>
      <c r="N627" s="10">
        <f t="shared" si="107"/>
        <v>208.98199723505425</v>
      </c>
      <c r="P627" s="13">
        <f t="shared" si="104"/>
        <v>8.415587341126466</v>
      </c>
      <c r="Q627" s="13">
        <f t="shared" si="105"/>
        <v>0</v>
      </c>
    </row>
    <row r="628" spans="9:17" ht="12.75">
      <c r="I628" s="2">
        <f t="shared" si="103"/>
        <v>8580</v>
      </c>
      <c r="J628" s="13">
        <f t="shared" si="102"/>
        <v>-6.231293570103627</v>
      </c>
      <c r="K628" s="10">
        <f t="shared" si="106"/>
        <v>240.15596807115028</v>
      </c>
      <c r="L628" s="13">
        <f t="shared" si="108"/>
        <v>14.658407926931472</v>
      </c>
      <c r="M628" s="10">
        <f t="shared" si="109"/>
        <v>-2.9222372343588514</v>
      </c>
      <c r="N628" s="10">
        <f t="shared" si="107"/>
        <v>208.8402784090694</v>
      </c>
      <c r="P628" s="13">
        <f t="shared" si="104"/>
        <v>8.427114356827845</v>
      </c>
      <c r="Q628" s="13">
        <f t="shared" si="105"/>
        <v>0</v>
      </c>
    </row>
    <row r="629" spans="9:17" ht="12.75">
      <c r="I629" s="2">
        <f t="shared" si="103"/>
        <v>8595</v>
      </c>
      <c r="J629" s="13">
        <f t="shared" si="102"/>
        <v>-6.240153958478988</v>
      </c>
      <c r="K629" s="10">
        <f t="shared" si="106"/>
        <v>240.05882738502663</v>
      </c>
      <c r="L629" s="13">
        <f t="shared" si="108"/>
        <v>14.678802433766835</v>
      </c>
      <c r="M629" s="10">
        <f t="shared" si="109"/>
        <v>-2.901842727523489</v>
      </c>
      <c r="N629" s="10">
        <f t="shared" si="107"/>
        <v>208.69956764016112</v>
      </c>
      <c r="P629" s="13">
        <f t="shared" si="104"/>
        <v>8.438648475287847</v>
      </c>
      <c r="Q629" s="13">
        <f t="shared" si="105"/>
        <v>0</v>
      </c>
    </row>
    <row r="630" spans="9:17" ht="12.75">
      <c r="I630" s="2">
        <f t="shared" si="103"/>
        <v>8610</v>
      </c>
      <c r="J630" s="13">
        <f t="shared" si="102"/>
        <v>-6.248483966072264</v>
      </c>
      <c r="K630" s="10">
        <f t="shared" si="106"/>
        <v>239.96154857281465</v>
      </c>
      <c r="L630" s="13">
        <f t="shared" si="108"/>
        <v>14.698672611882916</v>
      </c>
      <c r="M630" s="10">
        <f t="shared" si="109"/>
        <v>-2.8819725494074078</v>
      </c>
      <c r="N630" s="10">
        <f t="shared" si="107"/>
        <v>208.55983890197388</v>
      </c>
      <c r="P630" s="13">
        <f t="shared" si="104"/>
        <v>8.450188645810652</v>
      </c>
      <c r="Q630" s="13">
        <f t="shared" si="105"/>
        <v>0</v>
      </c>
    </row>
    <row r="631" spans="9:17" ht="12.75">
      <c r="I631" s="2">
        <f t="shared" si="103"/>
        <v>8625</v>
      </c>
      <c r="J631" s="13">
        <f t="shared" si="102"/>
        <v>-6.2563002962414735</v>
      </c>
      <c r="K631" s="10">
        <f t="shared" si="106"/>
        <v>239.86413990270978</v>
      </c>
      <c r="L631" s="13">
        <f t="shared" si="108"/>
        <v>14.718034149399523</v>
      </c>
      <c r="M631" s="10">
        <f t="shared" si="109"/>
        <v>-2.8626110118908006</v>
      </c>
      <c r="N631" s="10">
        <f t="shared" si="107"/>
        <v>208.42106694717444</v>
      </c>
      <c r="P631" s="13">
        <f t="shared" si="104"/>
        <v>8.46173385315805</v>
      </c>
      <c r="Q631" s="13">
        <f t="shared" si="105"/>
        <v>0</v>
      </c>
    </row>
    <row r="632" spans="9:17" ht="12.75">
      <c r="I632" s="2">
        <f t="shared" si="103"/>
        <v>8640</v>
      </c>
      <c r="J632" s="13">
        <f aca="true" t="shared" si="110" ref="J632:J695">(D$7-K632)*(1/D$13+1/D$14)+D$16*(D$19*D$21*D$17+D$20*D$22*D$18)*(D$7^4-K632^4)-(K632-N632)/D$12</f>
        <v>-6.263619142513429</v>
      </c>
      <c r="K632" s="10">
        <f t="shared" si="106"/>
        <v>239.76660938251598</v>
      </c>
      <c r="L632" s="13">
        <f t="shared" si="108"/>
        <v>14.736902258954899</v>
      </c>
      <c r="M632" s="10">
        <f t="shared" si="109"/>
        <v>-2.843742902335425</v>
      </c>
      <c r="N632" s="10">
        <f t="shared" si="107"/>
        <v>208.2832272838396</v>
      </c>
      <c r="P632" s="13">
        <f t="shared" si="104"/>
        <v>8.47328311644147</v>
      </c>
      <c r="Q632" s="13">
        <f t="shared" si="105"/>
        <v>0</v>
      </c>
    </row>
    <row r="633" spans="9:17" ht="12.75">
      <c r="I633" s="2">
        <f aca="true" t="shared" si="111" ref="I633:I696">I632+I$41</f>
        <v>8655</v>
      </c>
      <c r="J633" s="13">
        <f t="shared" si="110"/>
        <v>-6.27045620409517</v>
      </c>
      <c r="K633" s="10">
        <f t="shared" si="106"/>
        <v>239.66896476759362</v>
      </c>
      <c r="L633" s="13">
        <f t="shared" si="108"/>
        <v>14.755291692142913</v>
      </c>
      <c r="M633" s="10">
        <f t="shared" si="109"/>
        <v>-2.8253534691474105</v>
      </c>
      <c r="N633" s="10">
        <f t="shared" si="107"/>
        <v>208.14629615256104</v>
      </c>
      <c r="P633" s="13">
        <f aca="true" t="shared" si="112" ref="P633:P696">(D$7-K633)*(1/D$13+1/D$14)+D$16*(D$19*D$21*D$17+D$20*D$22*D$18)*(D$7^4-K633^4)</f>
        <v>8.484835488047743</v>
      </c>
      <c r="Q633" s="13">
        <f aca="true" t="shared" si="113" ref="Q633:Q696">IF(K633=D$8,-J633,0)</f>
        <v>0</v>
      </c>
    </row>
    <row r="634" spans="9:17" ht="12.75">
      <c r="I634" s="2">
        <f t="shared" si="111"/>
        <v>8670</v>
      </c>
      <c r="J634" s="13">
        <f t="shared" si="110"/>
        <v>-6.276826700914064</v>
      </c>
      <c r="K634" s="10">
        <f t="shared" si="106"/>
        <v>239.57121356856547</v>
      </c>
      <c r="L634" s="13">
        <f t="shared" si="108"/>
        <v>14.773216753511687</v>
      </c>
      <c r="M634" s="10">
        <f t="shared" si="109"/>
        <v>-2.8074284077786373</v>
      </c>
      <c r="N634" s="10">
        <f t="shared" si="107"/>
        <v>208.01025050424505</v>
      </c>
      <c r="P634" s="13">
        <f t="shared" si="112"/>
        <v>8.496390052597622</v>
      </c>
      <c r="Q634" s="13">
        <f t="shared" si="113"/>
        <v>0</v>
      </c>
    </row>
    <row r="635" spans="9:17" ht="12.75">
      <c r="I635" s="2">
        <f t="shared" si="111"/>
        <v>8685</v>
      </c>
      <c r="J635" s="13">
        <f t="shared" si="110"/>
        <v>-6.282745388200837</v>
      </c>
      <c r="K635" s="10">
        <f t="shared" si="106"/>
        <v>239.47336305878827</v>
      </c>
      <c r="L635" s="13">
        <f t="shared" si="108"/>
        <v>14.790691314136911</v>
      </c>
      <c r="M635" s="10">
        <f t="shared" si="109"/>
        <v>-2.951244169734057</v>
      </c>
      <c r="N635" s="10">
        <f t="shared" si="107"/>
        <v>207.87506797858669</v>
      </c>
      <c r="P635" s="13">
        <f t="shared" si="112"/>
        <v>8.507945925936074</v>
      </c>
      <c r="Q635" s="13">
        <f t="shared" si="113"/>
        <v>0</v>
      </c>
    </row>
    <row r="636" spans="9:17" ht="12.75">
      <c r="I636" s="2">
        <f t="shared" si="111"/>
        <v>8700</v>
      </c>
      <c r="J636" s="13">
        <f t="shared" si="110"/>
        <v>-6.291861910331786</v>
      </c>
      <c r="K636" s="10">
        <f t="shared" si="106"/>
        <v>239.375420281597</v>
      </c>
      <c r="L636" s="13">
        <f t="shared" si="108"/>
        <v>14.811364164485205</v>
      </c>
      <c r="M636" s="10">
        <f t="shared" si="109"/>
        <v>-2.9305713193857628</v>
      </c>
      <c r="N636" s="10">
        <f t="shared" si="107"/>
        <v>207.73296047565134</v>
      </c>
      <c r="P636" s="13">
        <f t="shared" si="112"/>
        <v>8.51950225415342</v>
      </c>
      <c r="Q636" s="13">
        <f t="shared" si="113"/>
        <v>0</v>
      </c>
    </row>
    <row r="637" spans="9:17" ht="12.75">
      <c r="I637" s="2">
        <f t="shared" si="111"/>
        <v>8715</v>
      </c>
      <c r="J637" s="13">
        <f t="shared" si="110"/>
        <v>-6.300439653150953</v>
      </c>
      <c r="K637" s="10">
        <f t="shared" si="106"/>
        <v>239.2773353854051</v>
      </c>
      <c r="L637" s="13">
        <f t="shared" si="108"/>
        <v>14.831504543477454</v>
      </c>
      <c r="M637" s="10">
        <f t="shared" si="109"/>
        <v>-2.910430940393514</v>
      </c>
      <c r="N637" s="10">
        <f t="shared" si="107"/>
        <v>207.59184840615782</v>
      </c>
      <c r="P637" s="13">
        <f t="shared" si="112"/>
        <v>8.531064890326501</v>
      </c>
      <c r="Q637" s="13">
        <f t="shared" si="113"/>
        <v>0</v>
      </c>
    </row>
    <row r="638" spans="9:17" ht="12.75">
      <c r="I638" s="2">
        <f t="shared" si="111"/>
        <v>8730</v>
      </c>
      <c r="J638" s="13">
        <f t="shared" si="110"/>
        <v>-6.308495575275799</v>
      </c>
      <c r="K638" s="10">
        <f t="shared" si="106"/>
        <v>239.17911676933412</v>
      </c>
      <c r="L638" s="13">
        <f t="shared" si="108"/>
        <v>14.851128384045763</v>
      </c>
      <c r="M638" s="10">
        <f t="shared" si="109"/>
        <v>-2.8908070998252047</v>
      </c>
      <c r="N638" s="10">
        <f t="shared" si="107"/>
        <v>207.4517061306909</v>
      </c>
      <c r="P638" s="13">
        <f t="shared" si="112"/>
        <v>8.542632808769964</v>
      </c>
      <c r="Q638" s="13">
        <f t="shared" si="113"/>
        <v>0</v>
      </c>
    </row>
    <row r="639" spans="9:17" ht="12.75">
      <c r="I639" s="2">
        <f t="shared" si="111"/>
        <v>8745</v>
      </c>
      <c r="J639" s="13">
        <f t="shared" si="110"/>
        <v>-6.316046117773743</v>
      </c>
      <c r="K639" s="10">
        <f t="shared" si="106"/>
        <v>239.0807725681348</v>
      </c>
      <c r="L639" s="13">
        <f t="shared" si="108"/>
        <v>14.8702511362602</v>
      </c>
      <c r="M639" s="10">
        <f t="shared" si="109"/>
        <v>-2.8716843476107687</v>
      </c>
      <c r="N639" s="10">
        <f t="shared" si="107"/>
        <v>207.31250877703346</v>
      </c>
      <c r="P639" s="13">
        <f t="shared" si="112"/>
        <v>8.554205018486456</v>
      </c>
      <c r="Q639" s="13">
        <f t="shared" si="113"/>
        <v>0</v>
      </c>
    </row>
    <row r="640" spans="9:17" ht="12.75">
      <c r="I640" s="2">
        <f t="shared" si="111"/>
        <v>8760</v>
      </c>
      <c r="J640" s="13">
        <f t="shared" si="110"/>
        <v>-6.323107219906671</v>
      </c>
      <c r="K640" s="10">
        <f t="shared" si="106"/>
        <v>238.98231066025537</v>
      </c>
      <c r="L640" s="13">
        <f t="shared" si="108"/>
        <v>14.888887781988622</v>
      </c>
      <c r="M640" s="10">
        <f t="shared" si="109"/>
        <v>-2.853047701882346</v>
      </c>
      <c r="N640" s="10">
        <f t="shared" si="107"/>
        <v>207.17423221691604</v>
      </c>
      <c r="P640" s="13">
        <f t="shared" si="112"/>
        <v>8.565780562081951</v>
      </c>
      <c r="Q640" s="13">
        <f t="shared" si="113"/>
        <v>0</v>
      </c>
    </row>
    <row r="641" spans="9:17" ht="12.75">
      <c r="I641" s="2">
        <f t="shared" si="111"/>
        <v>8775</v>
      </c>
      <c r="J641" s="13">
        <f t="shared" si="110"/>
        <v>-6.329694334397168</v>
      </c>
      <c r="K641" s="10">
        <f t="shared" si="106"/>
        <v>238.88373867566423</v>
      </c>
      <c r="L641" s="13">
        <f t="shared" si="108"/>
        <v>14.90705284911131</v>
      </c>
      <c r="M641" s="10">
        <f t="shared" si="109"/>
        <v>-2.8348826347596585</v>
      </c>
      <c r="N641" s="10">
        <f t="shared" si="107"/>
        <v>207.0368530434719</v>
      </c>
      <c r="P641" s="13">
        <f t="shared" si="112"/>
        <v>8.577358514714142</v>
      </c>
      <c r="Q641" s="13">
        <f t="shared" si="113"/>
        <v>0</v>
      </c>
    </row>
    <row r="642" spans="9:17" ht="12.75">
      <c r="I642" s="2">
        <f t="shared" si="111"/>
        <v>8790</v>
      </c>
      <c r="J642" s="13">
        <f t="shared" si="110"/>
        <v>-6.335822442230745</v>
      </c>
      <c r="K642" s="10">
        <f t="shared" si="106"/>
        <v>238.78506400343466</v>
      </c>
      <c r="L642" s="13">
        <f t="shared" si="108"/>
        <v>14.924760425303644</v>
      </c>
      <c r="M642" s="10">
        <f t="shared" si="109"/>
        <v>-2.978465381147968</v>
      </c>
      <c r="N642" s="10">
        <f t="shared" si="107"/>
        <v>206.90034854937687</v>
      </c>
      <c r="P642" s="13">
        <f t="shared" si="112"/>
        <v>8.5889379830729</v>
      </c>
      <c r="Q642" s="13">
        <f t="shared" si="113"/>
        <v>0</v>
      </c>
    </row>
    <row r="643" spans="9:17" ht="12.75">
      <c r="I643" s="2">
        <f t="shared" si="111"/>
        <v>8805</v>
      </c>
      <c r="J643" s="13">
        <f t="shared" si="110"/>
        <v>-6.3451414067107414</v>
      </c>
      <c r="K643" s="10">
        <f t="shared" si="106"/>
        <v>238.6862937990988</v>
      </c>
      <c r="L643" s="13">
        <f t="shared" si="108"/>
        <v>14.945659511102638</v>
      </c>
      <c r="M643" s="10">
        <f t="shared" si="109"/>
        <v>-2.9575662953489736</v>
      </c>
      <c r="N643" s="10">
        <f t="shared" si="107"/>
        <v>206.7569302981068</v>
      </c>
      <c r="P643" s="13">
        <f t="shared" si="112"/>
        <v>8.600518104391897</v>
      </c>
      <c r="Q643" s="13">
        <f t="shared" si="113"/>
        <v>0</v>
      </c>
    </row>
    <row r="644" spans="9:17" ht="12.75">
      <c r="I644" s="2">
        <f t="shared" si="111"/>
        <v>8820</v>
      </c>
      <c r="J644" s="13">
        <f t="shared" si="110"/>
        <v>-6.353914868375924</v>
      </c>
      <c r="K644" s="10">
        <f t="shared" si="106"/>
        <v>238.58737831985437</v>
      </c>
      <c r="L644" s="13">
        <f t="shared" si="108"/>
        <v>14.966019549167251</v>
      </c>
      <c r="M644" s="10">
        <f t="shared" si="109"/>
        <v>-2.9372062572843607</v>
      </c>
      <c r="N644" s="10">
        <f t="shared" si="107"/>
        <v>206.61451837390615</v>
      </c>
      <c r="P644" s="13">
        <f t="shared" si="112"/>
        <v>8.612104680791328</v>
      </c>
      <c r="Q644" s="13">
        <f t="shared" si="113"/>
        <v>0</v>
      </c>
    </row>
    <row r="645" spans="9:17" ht="12.75">
      <c r="I645" s="2">
        <f t="shared" si="111"/>
        <v>8835</v>
      </c>
      <c r="J645" s="13">
        <f t="shared" si="110"/>
        <v>-6.362159990046768</v>
      </c>
      <c r="K645" s="10">
        <f t="shared" si="106"/>
        <v>238.48832606963677</v>
      </c>
      <c r="L645" s="13">
        <f t="shared" si="108"/>
        <v>14.985856669717085</v>
      </c>
      <c r="M645" s="10">
        <f t="shared" si="109"/>
        <v>-2.9173691367345267</v>
      </c>
      <c r="N645" s="10">
        <f t="shared" si="107"/>
        <v>206.47308682069573</v>
      </c>
      <c r="P645" s="13">
        <f t="shared" si="112"/>
        <v>8.623696679670317</v>
      </c>
      <c r="Q645" s="13">
        <f t="shared" si="113"/>
        <v>0</v>
      </c>
    </row>
    <row r="646" spans="9:17" ht="12.75">
      <c r="I646" s="2">
        <f t="shared" si="111"/>
        <v>8850</v>
      </c>
      <c r="J646" s="13">
        <f t="shared" si="110"/>
        <v>-6.369893410828164</v>
      </c>
      <c r="K646" s="10">
        <f t="shared" si="106"/>
        <v>238.38914528482724</v>
      </c>
      <c r="L646" s="13">
        <f t="shared" si="108"/>
        <v>15.005186514172905</v>
      </c>
      <c r="M646" s="10">
        <f t="shared" si="109"/>
        <v>-2.898039292278707</v>
      </c>
      <c r="N646" s="10">
        <f t="shared" si="107"/>
        <v>206.3326104590942</v>
      </c>
      <c r="P646" s="13">
        <f t="shared" si="112"/>
        <v>8.635293103344742</v>
      </c>
      <c r="Q646" s="13">
        <f t="shared" si="113"/>
        <v>0</v>
      </c>
    </row>
    <row r="647" spans="9:17" ht="12.75">
      <c r="I647" s="2">
        <f t="shared" si="111"/>
        <v>8865</v>
      </c>
      <c r="J647" s="13">
        <f t="shared" si="110"/>
        <v>-6.377131262039935</v>
      </c>
      <c r="K647" s="10">
        <f t="shared" si="106"/>
        <v>238.2898439424172</v>
      </c>
      <c r="L647" s="13">
        <f t="shared" si="108"/>
        <v>15.024024249995346</v>
      </c>
      <c r="M647" s="10">
        <f t="shared" si="109"/>
        <v>-2.879201556456266</v>
      </c>
      <c r="N647" s="10">
        <f t="shared" si="107"/>
        <v>206.1930648628817</v>
      </c>
      <c r="P647" s="13">
        <f t="shared" si="112"/>
        <v>8.646892987955411</v>
      </c>
      <c r="Q647" s="13">
        <f t="shared" si="113"/>
        <v>0</v>
      </c>
    </row>
    <row r="648" spans="9:17" ht="12.75">
      <c r="I648" s="2">
        <f t="shared" si="111"/>
        <v>8880</v>
      </c>
      <c r="J648" s="13">
        <f t="shared" si="110"/>
        <v>-6.383889182663232</v>
      </c>
      <c r="K648" s="10">
        <f t="shared" si="106"/>
        <v>238.19042976792426</v>
      </c>
      <c r="L648" s="13">
        <f t="shared" si="108"/>
        <v>15.042384585072831</v>
      </c>
      <c r="M648" s="10">
        <f t="shared" si="109"/>
        <v>-2.860841221378781</v>
      </c>
      <c r="N648" s="10">
        <f t="shared" si="107"/>
        <v>206.05442633617776</v>
      </c>
      <c r="P648" s="13">
        <f t="shared" si="112"/>
        <v>8.6584954024096</v>
      </c>
      <c r="Q648" s="13">
        <f t="shared" si="113"/>
        <v>0</v>
      </c>
    </row>
    <row r="649" spans="9:17" ht="12.75">
      <c r="I649" s="2">
        <f t="shared" si="111"/>
        <v>8895</v>
      </c>
      <c r="J649" s="13">
        <f t="shared" si="110"/>
        <v>-6.390182334317798</v>
      </c>
      <c r="K649" s="10">
        <f t="shared" si="106"/>
        <v>238.09091024306724</v>
      </c>
      <c r="L649" s="13">
        <f t="shared" si="108"/>
        <v>15.060281781672598</v>
      </c>
      <c r="M649" s="10">
        <f t="shared" si="109"/>
        <v>-3.0042343473596578</v>
      </c>
      <c r="N649" s="10">
        <f t="shared" si="107"/>
        <v>205.91667189131215</v>
      </c>
      <c r="P649" s="13">
        <f t="shared" si="112"/>
        <v>8.6700994473548</v>
      </c>
      <c r="Q649" s="13">
        <f t="shared" si="113"/>
        <v>0</v>
      </c>
    </row>
    <row r="650" spans="9:17" ht="12.75">
      <c r="I650" s="2">
        <f t="shared" si="111"/>
        <v>8910</v>
      </c>
      <c r="J650" s="13">
        <f t="shared" si="110"/>
        <v>-6.399660755486421</v>
      </c>
      <c r="K650" s="10">
        <f t="shared" si="106"/>
        <v>237.991292613208</v>
      </c>
      <c r="L650" s="13">
        <f t="shared" si="108"/>
        <v>15.081365009670266</v>
      </c>
      <c r="M650" s="10">
        <f t="shared" si="109"/>
        <v>-2.98315111936199</v>
      </c>
      <c r="N650" s="10">
        <f t="shared" si="107"/>
        <v>205.77201281982153</v>
      </c>
      <c r="P650" s="13">
        <f t="shared" si="112"/>
        <v>8.681704254183845</v>
      </c>
      <c r="Q650" s="13">
        <f t="shared" si="113"/>
        <v>0</v>
      </c>
    </row>
    <row r="651" spans="9:17" ht="12.75">
      <c r="I651" s="2">
        <f t="shared" si="111"/>
        <v>8925</v>
      </c>
      <c r="J651" s="13">
        <f t="shared" si="110"/>
        <v>-6.408588299100671</v>
      </c>
      <c r="K651" s="10">
        <f t="shared" si="106"/>
        <v>237.89152722264302</v>
      </c>
      <c r="L651" s="13">
        <f t="shared" si="108"/>
        <v>15.101903875968345</v>
      </c>
      <c r="M651" s="10">
        <f t="shared" si="109"/>
        <v>-2.962612253063911</v>
      </c>
      <c r="N651" s="10">
        <f t="shared" si="107"/>
        <v>205.6283689421652</v>
      </c>
      <c r="P651" s="13">
        <f t="shared" si="112"/>
        <v>8.693315576867674</v>
      </c>
      <c r="Q651" s="13">
        <f t="shared" si="113"/>
        <v>0</v>
      </c>
    </row>
    <row r="652" spans="9:17" ht="12.75">
      <c r="I652" s="2">
        <f t="shared" si="111"/>
        <v>8940</v>
      </c>
      <c r="J652" s="13">
        <f t="shared" si="110"/>
        <v>-6.416982291055639</v>
      </c>
      <c r="K652" s="10">
        <f t="shared" si="106"/>
        <v>237.79162265909534</v>
      </c>
      <c r="L652" s="13">
        <f t="shared" si="108"/>
        <v>15.121914669778231</v>
      </c>
      <c r="M652" s="10">
        <f t="shared" si="109"/>
        <v>-2.942601459254025</v>
      </c>
      <c r="N652" s="10">
        <f t="shared" si="107"/>
        <v>205.4857140463873</v>
      </c>
      <c r="P652" s="13">
        <f t="shared" si="112"/>
        <v>8.704932378722592</v>
      </c>
      <c r="Q652" s="13">
        <f t="shared" si="113"/>
        <v>0</v>
      </c>
    </row>
    <row r="653" spans="9:17" ht="12.75">
      <c r="I653" s="2">
        <f t="shared" si="111"/>
        <v>8955</v>
      </c>
      <c r="J653" s="13">
        <f t="shared" si="110"/>
        <v>-6.424859528616729</v>
      </c>
      <c r="K653" s="10">
        <f t="shared" si="106"/>
        <v>237.69158724019178</v>
      </c>
      <c r="L653" s="13">
        <f t="shared" si="108"/>
        <v>15.14141318673903</v>
      </c>
      <c r="M653" s="10">
        <f t="shared" si="109"/>
        <v>-2.9231029422932266</v>
      </c>
      <c r="N653" s="10">
        <f t="shared" si="107"/>
        <v>205.34402270488567</v>
      </c>
      <c r="P653" s="13">
        <f t="shared" si="112"/>
        <v>8.7165536581223</v>
      </c>
      <c r="Q653" s="13">
        <f t="shared" si="113"/>
        <v>0</v>
      </c>
    </row>
    <row r="654" spans="9:17" ht="12.75">
      <c r="I654" s="2">
        <f t="shared" si="111"/>
        <v>8970</v>
      </c>
      <c r="J654" s="13">
        <f t="shared" si="110"/>
        <v>-6.432236296497896</v>
      </c>
      <c r="K654" s="10">
        <f t="shared" si="106"/>
        <v>237.5914290217037</v>
      </c>
      <c r="L654" s="13">
        <f t="shared" si="108"/>
        <v>15.160414743899604</v>
      </c>
      <c r="M654" s="10">
        <f t="shared" si="109"/>
        <v>-2.904101385132652</v>
      </c>
      <c r="N654" s="10">
        <f t="shared" si="107"/>
        <v>205.20327025064546</v>
      </c>
      <c r="P654" s="13">
        <f t="shared" si="112"/>
        <v>8.728178447401708</v>
      </c>
      <c r="Q654" s="13">
        <f t="shared" si="113"/>
        <v>0</v>
      </c>
    </row>
    <row r="655" spans="9:17" ht="12.75">
      <c r="I655" s="2">
        <f t="shared" si="111"/>
        <v>8985</v>
      </c>
      <c r="J655" s="13">
        <f t="shared" si="110"/>
        <v>-6.439128382451623</v>
      </c>
      <c r="K655" s="10">
        <f aca="true" t="shared" si="114" ref="K655:K718">MAX(D$8,K654+J654*I$41/VLOOKUP(K654,E$44:G$251,3,TRUE))</f>
        <v>237.49115580553732</v>
      </c>
      <c r="L655" s="13">
        <f t="shared" si="108"/>
        <v>15.178934194245757</v>
      </c>
      <c r="M655" s="10">
        <f t="shared" si="109"/>
        <v>-2.885581934786499</v>
      </c>
      <c r="N655" s="10">
        <f aca="true" t="shared" si="115" ref="N655:N718">N654+M654*I$41/VLOOKUP(N654,A$44:C$251,3,TRUE)</f>
        <v>205.0634327541941</v>
      </c>
      <c r="P655" s="13">
        <f t="shared" si="112"/>
        <v>8.739805811794135</v>
      </c>
      <c r="Q655" s="13">
        <f t="shared" si="113"/>
        <v>0</v>
      </c>
    </row>
    <row r="656" spans="9:17" ht="12.75">
      <c r="I656" s="2">
        <f t="shared" si="111"/>
        <v>9000</v>
      </c>
      <c r="J656" s="13">
        <f t="shared" si="110"/>
        <v>-6.445551092385202</v>
      </c>
      <c r="K656" s="10">
        <f t="shared" si="114"/>
        <v>237.39077514748092</v>
      </c>
      <c r="L656" s="13">
        <f t="shared" si="108"/>
        <v>15.196985940786117</v>
      </c>
      <c r="M656" s="10">
        <f t="shared" si="109"/>
        <v>-3.0288205108267867</v>
      </c>
      <c r="N656" s="10">
        <f t="shared" si="115"/>
        <v>204.92448700125604</v>
      </c>
      <c r="P656" s="13">
        <f t="shared" si="112"/>
        <v>8.751434848400915</v>
      </c>
      <c r="Q656" s="13">
        <f t="shared" si="113"/>
        <v>0</v>
      </c>
    </row>
    <row r="657" spans="9:17" ht="12.75">
      <c r="I657" s="2">
        <f t="shared" si="111"/>
        <v>9015</v>
      </c>
      <c r="J657" s="13">
        <f t="shared" si="110"/>
        <v>-6.455154604720162</v>
      </c>
      <c r="K657" s="10">
        <f t="shared" si="114"/>
        <v>237.29029436471643</v>
      </c>
      <c r="L657" s="13">
        <f t="shared" si="108"/>
        <v>15.21821928991262</v>
      </c>
      <c r="M657" s="10">
        <f t="shared" si="109"/>
        <v>-3.0075871617002843</v>
      </c>
      <c r="N657" s="10">
        <f t="shared" si="115"/>
        <v>204.77864406353947</v>
      </c>
      <c r="P657" s="13">
        <f t="shared" si="112"/>
        <v>8.763064685192457</v>
      </c>
      <c r="Q657" s="13">
        <f t="shared" si="113"/>
        <v>0</v>
      </c>
    </row>
    <row r="658" spans="9:17" ht="12.75">
      <c r="I658" s="2">
        <f t="shared" si="111"/>
        <v>9030</v>
      </c>
      <c r="J658" s="13">
        <f t="shared" si="110"/>
        <v>-6.4642029507286995</v>
      </c>
      <c r="K658" s="10">
        <f t="shared" si="114"/>
        <v>237.1896638711789</v>
      </c>
      <c r="L658" s="13">
        <f t="shared" si="108"/>
        <v>15.238903980946029</v>
      </c>
      <c r="M658" s="10">
        <f t="shared" si="109"/>
        <v>-2.986902470666875</v>
      </c>
      <c r="N658" s="10">
        <f t="shared" si="115"/>
        <v>204.63382354824876</v>
      </c>
      <c r="P658" s="13">
        <f t="shared" si="112"/>
        <v>8.77470103021733</v>
      </c>
      <c r="Q658" s="13">
        <f t="shared" si="113"/>
        <v>0</v>
      </c>
    </row>
    <row r="659" spans="9:17" ht="12.75">
      <c r="I659" s="2">
        <f t="shared" si="111"/>
        <v>9045</v>
      </c>
      <c r="J659" s="13">
        <f t="shared" si="110"/>
        <v>-6.472713586248499</v>
      </c>
      <c r="K659" s="10">
        <f t="shared" si="114"/>
        <v>237.0888923214498</v>
      </c>
      <c r="L659" s="13">
        <f t="shared" si="108"/>
        <v>15.259056431230022</v>
      </c>
      <c r="M659" s="10">
        <f t="shared" si="109"/>
        <v>-2.9667500203828823</v>
      </c>
      <c r="N659" s="10">
        <f t="shared" si="115"/>
        <v>204.4899990365493</v>
      </c>
      <c r="P659" s="13">
        <f t="shared" si="112"/>
        <v>8.786342844981522</v>
      </c>
      <c r="Q659" s="13">
        <f t="shared" si="113"/>
        <v>0</v>
      </c>
    </row>
    <row r="660" spans="9:17" ht="12.75">
      <c r="I660" s="2">
        <f t="shared" si="111"/>
        <v>9060</v>
      </c>
      <c r="J660" s="13">
        <f t="shared" si="110"/>
        <v>-6.480703434581473</v>
      </c>
      <c r="K660" s="10">
        <f t="shared" si="114"/>
        <v>236.98798809798862</v>
      </c>
      <c r="L660" s="13">
        <f t="shared" si="108"/>
        <v>15.278692560699799</v>
      </c>
      <c r="M660" s="10">
        <f t="shared" si="109"/>
        <v>-2.947113890913105</v>
      </c>
      <c r="N660" s="10">
        <f t="shared" si="115"/>
        <v>204.34714490012996</v>
      </c>
      <c r="P660" s="13">
        <f t="shared" si="112"/>
        <v>8.797989126118326</v>
      </c>
      <c r="Q660" s="13">
        <f t="shared" si="113"/>
        <v>0</v>
      </c>
    </row>
    <row r="661" spans="9:17" ht="12.75">
      <c r="I661" s="2">
        <f t="shared" si="111"/>
        <v>9075</v>
      </c>
      <c r="J661" s="13">
        <f t="shared" si="110"/>
        <v>-6.488188902689213</v>
      </c>
      <c r="K661" s="10">
        <f t="shared" si="114"/>
        <v>236.8869593194346</v>
      </c>
      <c r="L661" s="13">
        <f t="shared" si="108"/>
        <v>15.297827806979102</v>
      </c>
      <c r="M661" s="10">
        <f t="shared" si="109"/>
        <v>-2.927978644633802</v>
      </c>
      <c r="N661" s="10">
        <f t="shared" si="115"/>
        <v>204.20523627725197</v>
      </c>
      <c r="P661" s="13">
        <f t="shared" si="112"/>
        <v>8.809638904289889</v>
      </c>
      <c r="Q661" s="13">
        <f t="shared" si="113"/>
        <v>0</v>
      </c>
    </row>
    <row r="662" spans="9:17" ht="12.75">
      <c r="I662" s="2">
        <f t="shared" si="111"/>
        <v>9090</v>
      </c>
      <c r="J662" s="13">
        <f t="shared" si="110"/>
        <v>-6.495185896896748</v>
      </c>
      <c r="K662" s="10">
        <f t="shared" si="114"/>
        <v>236.78581384865612</v>
      </c>
      <c r="L662" s="13">
        <f t="shared" si="108"/>
        <v>15.316477140018934</v>
      </c>
      <c r="M662" s="10">
        <f t="shared" si="109"/>
        <v>-2.90932931159397</v>
      </c>
      <c r="N662" s="10">
        <f t="shared" si="115"/>
        <v>204.06424904952476</v>
      </c>
      <c r="P662" s="13">
        <f t="shared" si="112"/>
        <v>8.821291243122186</v>
      </c>
      <c r="Q662" s="13">
        <f t="shared" si="113"/>
        <v>0</v>
      </c>
    </row>
    <row r="663" spans="9:17" ht="12.75">
      <c r="I663" s="2">
        <f t="shared" si="111"/>
        <v>9105</v>
      </c>
      <c r="J663" s="13">
        <f t="shared" si="110"/>
        <v>-6.501709838119076</v>
      </c>
      <c r="K663" s="10">
        <f t="shared" si="114"/>
        <v>236.68455930055518</v>
      </c>
      <c r="L663" s="13">
        <f t="shared" si="108"/>
        <v>15.334655076291583</v>
      </c>
      <c r="M663" s="10">
        <f t="shared" si="109"/>
        <v>-3.0524416979019655</v>
      </c>
      <c r="N663" s="10">
        <f t="shared" si="115"/>
        <v>203.9241598193868</v>
      </c>
      <c r="P663" s="13">
        <f t="shared" si="112"/>
        <v>8.832945238172506</v>
      </c>
      <c r="Q663" s="13">
        <f t="shared" si="113"/>
        <v>0</v>
      </c>
    </row>
    <row r="664" spans="9:17" ht="12.75">
      <c r="I664" s="2">
        <f t="shared" si="111"/>
        <v>9120</v>
      </c>
      <c r="J664" s="13">
        <f t="shared" si="110"/>
        <v>-6.511411016327603</v>
      </c>
      <c r="K664" s="10">
        <f t="shared" si="114"/>
        <v>236.5832030496345</v>
      </c>
      <c r="L664" s="13">
        <f t="shared" si="108"/>
        <v>15.356011032256042</v>
      </c>
      <c r="M664" s="10">
        <f t="shared" si="109"/>
        <v>-3.031085741937506</v>
      </c>
      <c r="N664" s="10">
        <f t="shared" si="115"/>
        <v>203.77717948072387</v>
      </c>
      <c r="P664" s="13">
        <f t="shared" si="112"/>
        <v>8.844600015928439</v>
      </c>
      <c r="Q664" s="13">
        <f t="shared" si="113"/>
        <v>0</v>
      </c>
    </row>
    <row r="665" spans="9:17" ht="12.75">
      <c r="I665" s="2">
        <f t="shared" si="111"/>
        <v>9135</v>
      </c>
      <c r="J665" s="13">
        <f t="shared" si="110"/>
        <v>-6.520553613726161</v>
      </c>
      <c r="K665" s="10">
        <f t="shared" si="114"/>
        <v>236.48169556541103</v>
      </c>
      <c r="L665" s="13">
        <f t="shared" si="108"/>
        <v>15.376814854005362</v>
      </c>
      <c r="M665" s="10">
        <f t="shared" si="109"/>
        <v>-3.010281920188186</v>
      </c>
      <c r="N665" s="10">
        <f t="shared" si="115"/>
        <v>203.63122746821776</v>
      </c>
      <c r="P665" s="13">
        <f t="shared" si="112"/>
        <v>8.856261240279201</v>
      </c>
      <c r="Q665" s="13">
        <f t="shared" si="113"/>
        <v>0</v>
      </c>
    </row>
    <row r="666" spans="9:17" ht="12.75">
      <c r="I666" s="2">
        <f t="shared" si="111"/>
        <v>9150</v>
      </c>
      <c r="J666" s="13">
        <f t="shared" si="110"/>
        <v>-6.529155189403639</v>
      </c>
      <c r="K666" s="10">
        <f t="shared" si="114"/>
        <v>236.38004555569518</v>
      </c>
      <c r="L666" s="13">
        <f t="shared" si="108"/>
        <v>15.397083062147601</v>
      </c>
      <c r="M666" s="10">
        <f t="shared" si="109"/>
        <v>-2.990013712045947</v>
      </c>
      <c r="N666" s="10">
        <f t="shared" si="115"/>
        <v>203.48627719565258</v>
      </c>
      <c r="P666" s="13">
        <f t="shared" si="112"/>
        <v>8.867927872743962</v>
      </c>
      <c r="Q666" s="13">
        <f t="shared" si="113"/>
        <v>0</v>
      </c>
    </row>
    <row r="667" spans="9:17" ht="12.75">
      <c r="I667" s="2">
        <f t="shared" si="111"/>
        <v>9165</v>
      </c>
      <c r="J667" s="13">
        <f t="shared" si="110"/>
        <v>-6.53723276681918</v>
      </c>
      <c r="K667" s="10">
        <f t="shared" si="114"/>
        <v>236.27826145456578</v>
      </c>
      <c r="L667" s="13">
        <f t="shared" si="108"/>
        <v>15.416831676801376</v>
      </c>
      <c r="M667" s="10">
        <f t="shared" si="109"/>
        <v>-2.970265097392172</v>
      </c>
      <c r="N667" s="10">
        <f t="shared" si="115"/>
        <v>203.3423028723083</v>
      </c>
      <c r="P667" s="13">
        <f t="shared" si="112"/>
        <v>8.879598909982196</v>
      </c>
      <c r="Q667" s="13">
        <f t="shared" si="113"/>
        <v>0</v>
      </c>
    </row>
    <row r="668" spans="9:17" ht="12.75">
      <c r="I668" s="2">
        <f t="shared" si="111"/>
        <v>9180</v>
      </c>
      <c r="J668" s="13">
        <f t="shared" si="110"/>
        <v>-6.544802850090337</v>
      </c>
      <c r="K668" s="10">
        <f t="shared" si="114"/>
        <v>236.17635143072008</v>
      </c>
      <c r="L668" s="13">
        <f t="shared" si="108"/>
        <v>15.43607623278502</v>
      </c>
      <c r="M668" s="10">
        <f t="shared" si="109"/>
        <v>-2.9510205414085284</v>
      </c>
      <c r="N668" s="10">
        <f t="shared" si="115"/>
        <v>203.19927947886117</v>
      </c>
      <c r="P668" s="13">
        <f t="shared" si="112"/>
        <v>8.891273382694683</v>
      </c>
      <c r="Q668" s="13">
        <f t="shared" si="113"/>
        <v>0</v>
      </c>
    </row>
    <row r="669" spans="9:17" ht="12.75">
      <c r="I669" s="2">
        <f t="shared" si="111"/>
        <v>9195</v>
      </c>
      <c r="J669" s="13">
        <f t="shared" si="110"/>
        <v>-6.551881439786458</v>
      </c>
      <c r="K669" s="10">
        <f t="shared" si="114"/>
        <v>236.07432339556988</v>
      </c>
      <c r="L669" s="13">
        <f t="shared" si="108"/>
        <v>15.454831794344427</v>
      </c>
      <c r="M669" s="10">
        <f t="shared" si="109"/>
        <v>-2.932264979849121</v>
      </c>
      <c r="N669" s="10">
        <f t="shared" si="115"/>
        <v>203.05718274401588</v>
      </c>
      <c r="P669" s="13">
        <f t="shared" si="112"/>
        <v>8.90295035455797</v>
      </c>
      <c r="Q669" s="13">
        <f t="shared" si="113"/>
        <v>0</v>
      </c>
    </row>
    <row r="670" spans="9:17" ht="12.75">
      <c r="I670" s="2">
        <f t="shared" si="111"/>
        <v>9210</v>
      </c>
      <c r="J670" s="13">
        <f t="shared" si="110"/>
        <v>-6.558484048242432</v>
      </c>
      <c r="K670" s="10">
        <f t="shared" si="114"/>
        <v>235.97218501109137</v>
      </c>
      <c r="L670" s="13">
        <f t="shared" si="108"/>
        <v>15.47311296943378</v>
      </c>
      <c r="M670" s="10">
        <f t="shared" si="109"/>
        <v>-3.0752741273404123</v>
      </c>
      <c r="N670" s="10">
        <f t="shared" si="115"/>
        <v>202.91598912184648</v>
      </c>
      <c r="P670" s="13">
        <f t="shared" si="112"/>
        <v>8.914628921191348</v>
      </c>
      <c r="Q670" s="13">
        <f t="shared" si="113"/>
        <v>0</v>
      </c>
    </row>
    <row r="671" spans="9:17" ht="12.75">
      <c r="I671" s="2">
        <f t="shared" si="111"/>
        <v>9225</v>
      </c>
      <c r="J671" s="13">
        <f t="shared" si="110"/>
        <v>-6.5682610541096516</v>
      </c>
      <c r="K671" s="10">
        <f t="shared" si="114"/>
        <v>235.86994369743638</v>
      </c>
      <c r="L671" s="13">
        <f t="shared" si="108"/>
        <v>15.494569263264973</v>
      </c>
      <c r="M671" s="10">
        <f t="shared" si="109"/>
        <v>-3.0538178335092194</v>
      </c>
      <c r="N671" s="10">
        <f t="shared" si="115"/>
        <v>202.7679093622794</v>
      </c>
      <c r="P671" s="13">
        <f t="shared" si="112"/>
        <v>8.926308209155321</v>
      </c>
      <c r="Q671" s="13">
        <f t="shared" si="113"/>
        <v>0</v>
      </c>
    </row>
    <row r="672" spans="9:17" ht="12.75">
      <c r="I672" s="2">
        <f t="shared" si="111"/>
        <v>9240</v>
      </c>
      <c r="J672" s="13">
        <f t="shared" si="110"/>
        <v>-6.577476768464042</v>
      </c>
      <c r="K672" s="10">
        <f t="shared" si="114"/>
        <v>235.76754996838844</v>
      </c>
      <c r="L672" s="13">
        <f t="shared" si="108"/>
        <v>15.515470608036402</v>
      </c>
      <c r="M672" s="10">
        <f t="shared" si="109"/>
        <v>-3.03291648873779</v>
      </c>
      <c r="N672" s="10">
        <f t="shared" si="115"/>
        <v>202.62086276031067</v>
      </c>
      <c r="P672" s="13">
        <f t="shared" si="112"/>
        <v>8.93799383957236</v>
      </c>
      <c r="Q672" s="13">
        <f t="shared" si="113"/>
        <v>0</v>
      </c>
    </row>
    <row r="673" spans="9:17" ht="12.75">
      <c r="I673" s="2">
        <f t="shared" si="111"/>
        <v>9255</v>
      </c>
      <c r="J673" s="13">
        <f t="shared" si="110"/>
        <v>-6.586148832142042</v>
      </c>
      <c r="K673" s="10">
        <f t="shared" si="114"/>
        <v>235.66501257401555</v>
      </c>
      <c r="L673" s="13">
        <f t="shared" si="108"/>
        <v>15.535833607580344</v>
      </c>
      <c r="M673" s="10">
        <f t="shared" si="109"/>
        <v>-3.0125534891938486</v>
      </c>
      <c r="N673" s="10">
        <f t="shared" si="115"/>
        <v>202.47482259418481</v>
      </c>
      <c r="P673" s="13">
        <f t="shared" si="112"/>
        <v>8.949684775438302</v>
      </c>
      <c r="Q673" s="13">
        <f t="shared" si="113"/>
        <v>0</v>
      </c>
    </row>
    <row r="674" spans="9:17" ht="12.75">
      <c r="I674" s="2">
        <f t="shared" si="111"/>
        <v>9270</v>
      </c>
      <c r="J674" s="13">
        <f t="shared" si="110"/>
        <v>-6.594294347910878</v>
      </c>
      <c r="K674" s="10">
        <f t="shared" si="114"/>
        <v>235.56233998937978</v>
      </c>
      <c r="L674" s="13">
        <f t="shared" si="108"/>
        <v>15.555674362767363</v>
      </c>
      <c r="M674" s="10">
        <f t="shared" si="109"/>
        <v>-2.9927127340068296</v>
      </c>
      <c r="N674" s="10">
        <f t="shared" si="115"/>
        <v>202.3297629416495</v>
      </c>
      <c r="P674" s="13">
        <f t="shared" si="112"/>
        <v>8.961380014856484</v>
      </c>
      <c r="Q674" s="13">
        <f t="shared" si="113"/>
        <v>0</v>
      </c>
    </row>
    <row r="675" spans="9:17" ht="12.75">
      <c r="I675" s="2">
        <f t="shared" si="111"/>
        <v>9285</v>
      </c>
      <c r="J675" s="13">
        <f t="shared" si="110"/>
        <v>-6.6019298968293025</v>
      </c>
      <c r="K675" s="10">
        <f t="shared" si="114"/>
        <v>235.45954042292527</v>
      </c>
      <c r="L675" s="13">
        <f t="shared" si="108"/>
        <v>15.5750084867689</v>
      </c>
      <c r="M675" s="10">
        <f t="shared" si="109"/>
        <v>-2.973378610005293</v>
      </c>
      <c r="N675" s="10">
        <f t="shared" si="115"/>
        <v>202.18565865573717</v>
      </c>
      <c r="P675" s="13">
        <f t="shared" si="112"/>
        <v>8.973078589939597</v>
      </c>
      <c r="Q675" s="13">
        <f t="shared" si="113"/>
        <v>0</v>
      </c>
    </row>
    <row r="676" spans="9:17" ht="12.75">
      <c r="I676" s="2">
        <f t="shared" si="111"/>
        <v>9300</v>
      </c>
      <c r="J676" s="13">
        <f t="shared" si="110"/>
        <v>-6.609071554111557</v>
      </c>
      <c r="K676" s="10">
        <f t="shared" si="114"/>
        <v>235.35662182461127</v>
      </c>
      <c r="L676" s="13">
        <f t="shared" si="108"/>
        <v>15.593851119856545</v>
      </c>
      <c r="M676" s="10">
        <f t="shared" si="109"/>
        <v>-2.954535976917647</v>
      </c>
      <c r="N676" s="10">
        <f t="shared" si="115"/>
        <v>202.04248534128138</v>
      </c>
      <c r="P676" s="13">
        <f t="shared" si="112"/>
        <v>8.984779565744988</v>
      </c>
      <c r="Q676" s="13">
        <f t="shared" si="113"/>
        <v>0</v>
      </c>
    </row>
    <row r="677" spans="9:17" ht="12.75">
      <c r="I677" s="2">
        <f t="shared" si="111"/>
        <v>9315</v>
      </c>
      <c r="J677" s="13">
        <f t="shared" si="110"/>
        <v>-6.6157349045095</v>
      </c>
      <c r="K677" s="10">
        <f t="shared" si="114"/>
        <v>235.25359189379773</v>
      </c>
      <c r="L677" s="13">
        <f t="shared" si="108"/>
        <v>15.612216943751912</v>
      </c>
      <c r="M677" s="10">
        <f t="shared" si="109"/>
        <v>-3.0974604756029276</v>
      </c>
      <c r="N677" s="10">
        <f t="shared" si="115"/>
        <v>201.90021933214592</v>
      </c>
      <c r="P677" s="13">
        <f t="shared" si="112"/>
        <v>8.996482039242412</v>
      </c>
      <c r="Q677" s="13">
        <f t="shared" si="113"/>
        <v>0</v>
      </c>
    </row>
    <row r="678" spans="9:17" ht="12.75">
      <c r="I678" s="2">
        <f t="shared" si="111"/>
        <v>9330</v>
      </c>
      <c r="J678" s="13">
        <f t="shared" si="110"/>
        <v>-6.6255703969299145</v>
      </c>
      <c r="K678" s="10">
        <f t="shared" si="114"/>
        <v>235.15045808689132</v>
      </c>
      <c r="L678" s="13">
        <f t="shared" si="108"/>
        <v>15.633755535243237</v>
      </c>
      <c r="M678" s="10">
        <f t="shared" si="109"/>
        <v>-3.0759218841116027</v>
      </c>
      <c r="N678" s="10">
        <f t="shared" si="115"/>
        <v>201.75107126159895</v>
      </c>
      <c r="P678" s="13">
        <f t="shared" si="112"/>
        <v>9.008185138313323</v>
      </c>
      <c r="Q678" s="13">
        <f t="shared" si="113"/>
        <v>0</v>
      </c>
    </row>
    <row r="679" spans="9:17" ht="12.75">
      <c r="I679" s="2">
        <f t="shared" si="111"/>
        <v>9345</v>
      </c>
      <c r="J679" s="13">
        <f t="shared" si="110"/>
        <v>-6.634842453568954</v>
      </c>
      <c r="K679" s="10">
        <f t="shared" si="114"/>
        <v>235.04717095283522</v>
      </c>
      <c r="L679" s="13">
        <f t="shared" si="108"/>
        <v>15.654736895979347</v>
      </c>
      <c r="M679" s="10">
        <f t="shared" si="109"/>
        <v>-3.0549405233754925</v>
      </c>
      <c r="N679" s="10">
        <f t="shared" si="115"/>
        <v>201.6029603114248</v>
      </c>
      <c r="P679" s="13">
        <f t="shared" si="112"/>
        <v>9.019894442410394</v>
      </c>
      <c r="Q679" s="13">
        <f t="shared" si="113"/>
        <v>0</v>
      </c>
    </row>
    <row r="680" spans="9:17" ht="12.75">
      <c r="I680" s="2">
        <f t="shared" si="111"/>
        <v>9360</v>
      </c>
      <c r="J680" s="13">
        <f t="shared" si="110"/>
        <v>-6.6435687796858165</v>
      </c>
      <c r="K680" s="10">
        <f t="shared" si="114"/>
        <v>234.94373927512478</v>
      </c>
      <c r="L680" s="13">
        <f t="shared" si="108"/>
        <v>15.675177696866745</v>
      </c>
      <c r="M680" s="10">
        <f t="shared" si="109"/>
        <v>-3.0344997224880945</v>
      </c>
      <c r="N680" s="10">
        <f t="shared" si="115"/>
        <v>201.45585965000038</v>
      </c>
      <c r="P680" s="13">
        <f t="shared" si="112"/>
        <v>9.031608917180929</v>
      </c>
      <c r="Q680" s="13">
        <f t="shared" si="113"/>
        <v>0</v>
      </c>
    </row>
    <row r="681" spans="9:17" ht="12.75">
      <c r="I681" s="2">
        <f t="shared" si="111"/>
        <v>9375</v>
      </c>
      <c r="J681" s="13">
        <f t="shared" si="110"/>
        <v>-6.651766540558301</v>
      </c>
      <c r="K681" s="10">
        <f t="shared" si="114"/>
        <v>234.84017156124517</v>
      </c>
      <c r="L681" s="13">
        <f t="shared" si="108"/>
        <v>15.695094103868334</v>
      </c>
      <c r="M681" s="10">
        <f t="shared" si="109"/>
        <v>-3.0145833154865063</v>
      </c>
      <c r="N681" s="10">
        <f t="shared" si="115"/>
        <v>201.30974324843555</v>
      </c>
      <c r="P681" s="13">
        <f t="shared" si="112"/>
        <v>9.043327563310033</v>
      </c>
      <c r="Q681" s="13">
        <f t="shared" si="113"/>
        <v>0</v>
      </c>
    </row>
    <row r="682" spans="9:17" ht="12.75">
      <c r="I682" s="2">
        <f t="shared" si="111"/>
        <v>9390</v>
      </c>
      <c r="J682" s="13">
        <f t="shared" si="110"/>
        <v>-6.659452377900205</v>
      </c>
      <c r="K682" s="10">
        <f t="shared" si="114"/>
        <v>234.7364760510891</v>
      </c>
      <c r="L682" s="13">
        <f t="shared" si="108"/>
        <v>15.71450179332465</v>
      </c>
      <c r="M682" s="10">
        <f t="shared" si="109"/>
        <v>-2.995175626030189</v>
      </c>
      <c r="N682" s="10">
        <f t="shared" si="115"/>
        <v>201.16458585625918</v>
      </c>
      <c r="P682" s="13">
        <f t="shared" si="112"/>
        <v>9.055049415424445</v>
      </c>
      <c r="Q682" s="13">
        <f t="shared" si="113"/>
        <v>0</v>
      </c>
    </row>
    <row r="683" spans="9:17" ht="12.75">
      <c r="I683" s="2">
        <f t="shared" si="111"/>
        <v>9405</v>
      </c>
      <c r="J683" s="13">
        <f t="shared" si="110"/>
        <v>-6.666642425780179</v>
      </c>
      <c r="K683" s="10">
        <f t="shared" si="114"/>
        <v>234.6326607251188</v>
      </c>
      <c r="L683" s="13">
        <f t="shared" si="108"/>
        <v>15.733415966809932</v>
      </c>
      <c r="M683" s="10">
        <f t="shared" si="109"/>
        <v>-2.9762614525449074</v>
      </c>
      <c r="N683" s="10">
        <f t="shared" si="115"/>
        <v>201.02036297784304</v>
      </c>
      <c r="P683" s="13">
        <f t="shared" si="112"/>
        <v>9.066773541029754</v>
      </c>
      <c r="Q683" s="13">
        <f t="shared" si="113"/>
        <v>0</v>
      </c>
    </row>
    <row r="684" spans="9:17" ht="12.75">
      <c r="I684" s="2">
        <f t="shared" si="111"/>
        <v>9420</v>
      </c>
      <c r="J684" s="13">
        <f t="shared" si="110"/>
        <v>-6.673352326057335</v>
      </c>
      <c r="K684" s="10">
        <f t="shared" si="114"/>
        <v>234.52873331227977</v>
      </c>
      <c r="L684" s="13">
        <f aca="true" t="shared" si="116" ref="L684:L747">(K684-N684)/D$12</f>
        <v>15.751851365537346</v>
      </c>
      <c r="M684" s="10">
        <f t="shared" si="109"/>
        <v>-3.1191163763981375</v>
      </c>
      <c r="N684" s="10">
        <f t="shared" si="115"/>
        <v>200.8770508495409</v>
      </c>
      <c r="P684" s="13">
        <f t="shared" si="112"/>
        <v>9.078499039480011</v>
      </c>
      <c r="Q684" s="13">
        <f t="shared" si="113"/>
        <v>0</v>
      </c>
    </row>
    <row r="685" spans="9:17" ht="12.75">
      <c r="I685" s="2">
        <f t="shared" si="111"/>
        <v>9435</v>
      </c>
      <c r="J685" s="13">
        <f t="shared" si="110"/>
        <v>-6.683232583050222</v>
      </c>
      <c r="K685" s="10">
        <f t="shared" si="114"/>
        <v>234.42470129767398</v>
      </c>
      <c r="L685" s="13">
        <f t="shared" si="116"/>
        <v>15.773457624029051</v>
      </c>
      <c r="M685" s="10">
        <f t="shared" si="109"/>
        <v>-3.097510117906433</v>
      </c>
      <c r="N685" s="10">
        <f t="shared" si="115"/>
        <v>200.72686000997555</v>
      </c>
      <c r="P685" s="13">
        <f t="shared" si="112"/>
        <v>9.09022504097883</v>
      </c>
      <c r="Q685" s="13">
        <f t="shared" si="113"/>
        <v>0</v>
      </c>
    </row>
    <row r="686" spans="9:17" ht="12.75">
      <c r="I686" s="2">
        <f t="shared" si="111"/>
        <v>9450</v>
      </c>
      <c r="J686" s="13">
        <f t="shared" si="110"/>
        <v>-6.692547715791761</v>
      </c>
      <c r="K686" s="10">
        <f t="shared" si="114"/>
        <v>234.320515258076</v>
      </c>
      <c r="L686" s="13">
        <f t="shared" si="116"/>
        <v>15.794504799962148</v>
      </c>
      <c r="M686" s="10">
        <f aca="true" t="shared" si="117" ref="M686:M749">L686-VLOOKUP(N686,A$44:C$251,2,TRUE)</f>
        <v>-3.076462941973336</v>
      </c>
      <c r="N686" s="10">
        <f t="shared" si="115"/>
        <v>200.57770954906596</v>
      </c>
      <c r="P686" s="13">
        <f t="shared" si="112"/>
        <v>9.101957084170387</v>
      </c>
      <c r="Q686" s="13">
        <f t="shared" si="113"/>
        <v>0</v>
      </c>
    </row>
    <row r="687" spans="9:17" ht="12.75">
      <c r="I687" s="2">
        <f t="shared" si="111"/>
        <v>9465</v>
      </c>
      <c r="J687" s="13">
        <f t="shared" si="110"/>
        <v>-6.701315480005341</v>
      </c>
      <c r="K687" s="10">
        <f t="shared" si="114"/>
        <v>234.21618400330308</v>
      </c>
      <c r="L687" s="13">
        <f t="shared" si="116"/>
        <v>15.815009618302037</v>
      </c>
      <c r="M687" s="10">
        <f t="shared" si="117"/>
        <v>-3.055958123633447</v>
      </c>
      <c r="N687" s="10">
        <f t="shared" si="115"/>
        <v>200.42957254602146</v>
      </c>
      <c r="P687" s="13">
        <f t="shared" si="112"/>
        <v>9.113694138296696</v>
      </c>
      <c r="Q687" s="13">
        <f t="shared" si="113"/>
        <v>0</v>
      </c>
    </row>
    <row r="688" spans="9:17" ht="12.75">
      <c r="I688" s="2">
        <f t="shared" si="111"/>
        <v>9480</v>
      </c>
      <c r="J688" s="13">
        <f t="shared" si="110"/>
        <v>-6.709553089945656</v>
      </c>
      <c r="K688" s="10">
        <f t="shared" si="114"/>
        <v>234.11171606637552</v>
      </c>
      <c r="L688" s="13">
        <f t="shared" si="116"/>
        <v>15.834988297483786</v>
      </c>
      <c r="M688" s="10">
        <f t="shared" si="117"/>
        <v>-3.035979444451698</v>
      </c>
      <c r="N688" s="10">
        <f t="shared" si="115"/>
        <v>200.28242288538743</v>
      </c>
      <c r="P688" s="13">
        <f t="shared" si="112"/>
        <v>9.12543520753813</v>
      </c>
      <c r="Q688" s="13">
        <f t="shared" si="113"/>
        <v>0</v>
      </c>
    </row>
    <row r="689" spans="9:17" ht="12.75">
      <c r="I689" s="2">
        <f t="shared" si="111"/>
        <v>9495</v>
      </c>
      <c r="J689" s="13">
        <f t="shared" si="110"/>
        <v>-6.717277234859893</v>
      </c>
      <c r="K689" s="10">
        <f t="shared" si="114"/>
        <v>234.00711971195764</v>
      </c>
      <c r="L689" s="13">
        <f t="shared" si="116"/>
        <v>15.854456564780016</v>
      </c>
      <c r="M689" s="10">
        <f t="shared" si="117"/>
        <v>-3.0165111771554685</v>
      </c>
      <c r="N689" s="10">
        <f t="shared" si="115"/>
        <v>200.13623523265488</v>
      </c>
      <c r="P689" s="13">
        <f t="shared" si="112"/>
        <v>9.137179329920123</v>
      </c>
      <c r="Q689" s="13">
        <f t="shared" si="113"/>
        <v>0</v>
      </c>
    </row>
    <row r="690" spans="9:17" ht="12.75">
      <c r="I690" s="2">
        <f t="shared" si="111"/>
        <v>9510</v>
      </c>
      <c r="J690" s="13">
        <f t="shared" si="110"/>
        <v>-6.724504094949108</v>
      </c>
      <c r="K690" s="10">
        <f t="shared" si="114"/>
        <v>233.90240294454233</v>
      </c>
      <c r="L690" s="13">
        <f t="shared" si="116"/>
        <v>15.873429671202294</v>
      </c>
      <c r="M690" s="10">
        <f t="shared" si="117"/>
        <v>-3.1588283933138346</v>
      </c>
      <c r="N690" s="10">
        <f t="shared" si="115"/>
        <v>199.99098501061016</v>
      </c>
      <c r="P690" s="13">
        <f t="shared" si="112"/>
        <v>9.148925576253186</v>
      </c>
      <c r="Q690" s="13">
        <f t="shared" si="113"/>
        <v>0</v>
      </c>
    </row>
    <row r="691" spans="9:17" ht="12.75">
      <c r="I691" s="2">
        <f t="shared" si="111"/>
        <v>9525</v>
      </c>
      <c r="J691" s="13">
        <f t="shared" si="110"/>
        <v>-6.734884696547235</v>
      </c>
      <c r="K691" s="10">
        <f t="shared" si="114"/>
        <v>233.79757351638656</v>
      </c>
      <c r="L691" s="13">
        <f t="shared" si="116"/>
        <v>15.895557745652491</v>
      </c>
      <c r="M691" s="10">
        <f t="shared" si="117"/>
        <v>-3.136700318863637</v>
      </c>
      <c r="N691" s="10">
        <f t="shared" si="115"/>
        <v>199.83888196885624</v>
      </c>
      <c r="P691" s="13">
        <f t="shared" si="112"/>
        <v>9.160673049105256</v>
      </c>
      <c r="Q691" s="13">
        <f t="shared" si="113"/>
        <v>0</v>
      </c>
    </row>
    <row r="692" spans="9:17" ht="12.75">
      <c r="I692" s="2">
        <f t="shared" si="111"/>
        <v>9540</v>
      </c>
      <c r="J692" s="13">
        <f t="shared" si="110"/>
        <v>-6.7446841018748955</v>
      </c>
      <c r="K692" s="10">
        <f t="shared" si="114"/>
        <v>233.69258226328222</v>
      </c>
      <c r="L692" s="13">
        <f t="shared" si="116"/>
        <v>15.917111325235398</v>
      </c>
      <c r="M692" s="10">
        <f t="shared" si="117"/>
        <v>-3.11514673928073</v>
      </c>
      <c r="N692" s="10">
        <f t="shared" si="115"/>
        <v>199.6878444320975</v>
      </c>
      <c r="P692" s="13">
        <f t="shared" si="112"/>
        <v>9.172427223360502</v>
      </c>
      <c r="Q692" s="13">
        <f t="shared" si="113"/>
        <v>0</v>
      </c>
    </row>
    <row r="693" spans="9:17" ht="12.75">
      <c r="I693" s="2">
        <f t="shared" si="111"/>
        <v>9555</v>
      </c>
      <c r="J693" s="13">
        <f t="shared" si="110"/>
        <v>-6.753920556026673</v>
      </c>
      <c r="K693" s="10">
        <f t="shared" si="114"/>
        <v>233.58743824559593</v>
      </c>
      <c r="L693" s="13">
        <f t="shared" si="116"/>
        <v>15.938107599574487</v>
      </c>
      <c r="M693" s="10">
        <f t="shared" si="117"/>
        <v>-3.0941504649416416</v>
      </c>
      <c r="N693" s="10">
        <f t="shared" si="115"/>
        <v>199.53784473741408</v>
      </c>
      <c r="P693" s="13">
        <f t="shared" si="112"/>
        <v>9.184187043547814</v>
      </c>
      <c r="Q693" s="13">
        <f t="shared" si="113"/>
        <v>0</v>
      </c>
    </row>
    <row r="694" spans="9:17" ht="12.75">
      <c r="I694" s="2">
        <f t="shared" si="111"/>
        <v>9570</v>
      </c>
      <c r="J694" s="13">
        <f t="shared" si="110"/>
        <v>-6.762611747796452</v>
      </c>
      <c r="K694" s="10">
        <f t="shared" si="114"/>
        <v>233.48215023926852</v>
      </c>
      <c r="L694" s="13">
        <f t="shared" si="116"/>
        <v>15.958563237719</v>
      </c>
      <c r="M694" s="10">
        <f t="shared" si="117"/>
        <v>-3.0736948267971282</v>
      </c>
      <c r="N694" s="10">
        <f t="shared" si="115"/>
        <v>199.38885604959611</v>
      </c>
      <c r="P694" s="13">
        <f t="shared" si="112"/>
        <v>9.195951489922548</v>
      </c>
      <c r="Q694" s="13">
        <f t="shared" si="113"/>
        <v>0</v>
      </c>
    </row>
    <row r="695" spans="9:17" ht="12.75">
      <c r="I695" s="2">
        <f t="shared" si="111"/>
        <v>9585</v>
      </c>
      <c r="J695" s="13">
        <f t="shared" si="110"/>
        <v>-6.770774826587463</v>
      </c>
      <c r="K695" s="10">
        <f t="shared" si="114"/>
        <v>233.3767267444872</v>
      </c>
      <c r="L695" s="13">
        <f t="shared" si="116"/>
        <v>15.978494403936551</v>
      </c>
      <c r="M695" s="10">
        <f t="shared" si="117"/>
        <v>-3.053763660579577</v>
      </c>
      <c r="N695" s="10">
        <f t="shared" si="115"/>
        <v>199.2408523360773</v>
      </c>
      <c r="P695" s="13">
        <f t="shared" si="112"/>
        <v>9.207719577349089</v>
      </c>
      <c r="Q695" s="13">
        <f t="shared" si="113"/>
        <v>0</v>
      </c>
    </row>
    <row r="696" spans="9:17" ht="12.75">
      <c r="I696" s="2">
        <f t="shared" si="111"/>
        <v>9600</v>
      </c>
      <c r="J696" s="13">
        <f aca="true" t="shared" si="118" ref="J696:J759">(D$7-K696)*(1/D$13+1/D$14)+D$16*(D$19*D$21*D$17+D$20*D$22*D$18)*(D$7^4-K696^4)-(K696-N696)/D$12</f>
        <v>-6.778426418809005</v>
      </c>
      <c r="K696" s="10">
        <f t="shared" si="114"/>
        <v>233.27117599409422</v>
      </c>
      <c r="L696" s="13">
        <f t="shared" si="116"/>
        <v>15.997916773026427</v>
      </c>
      <c r="M696" s="10">
        <f t="shared" si="117"/>
        <v>-3.034341291489701</v>
      </c>
      <c r="N696" s="10">
        <f t="shared" si="115"/>
        <v>199.09380834262868</v>
      </c>
      <c r="P696" s="13">
        <f t="shared" si="112"/>
        <v>9.219490354217422</v>
      </c>
      <c r="Q696" s="13">
        <f t="shared" si="113"/>
        <v>0</v>
      </c>
    </row>
    <row r="697" spans="9:17" ht="12.75">
      <c r="I697" s="2">
        <f aca="true" t="shared" si="119" ref="I697:I760">I696+I$41</f>
        <v>9615</v>
      </c>
      <c r="J697" s="13">
        <f t="shared" si="118"/>
        <v>-6.7855826437753635</v>
      </c>
      <c r="K697" s="10">
        <f t="shared" si="114"/>
        <v>233.16550596173997</v>
      </c>
      <c r="L697" s="13">
        <f t="shared" si="116"/>
        <v>16.016845545168074</v>
      </c>
      <c r="M697" s="10">
        <f t="shared" si="117"/>
        <v>-3.1767028419287016</v>
      </c>
      <c r="N697" s="10">
        <f t="shared" si="115"/>
        <v>198.94769956979</v>
      </c>
      <c r="P697" s="13">
        <f aca="true" t="shared" si="120" ref="P697:P760">(D$7-K697)*(1/D$13+1/D$14)+D$16*(D$19*D$21*D$17+D$20*D$22*D$18)*(D$7^4-K697^4)</f>
        <v>9.23126290139271</v>
      </c>
      <c r="Q697" s="13">
        <f aca="true" t="shared" si="121" ref="Q697:Q760">IF(K697=D$8,-J697,0)</f>
        <v>0</v>
      </c>
    </row>
    <row r="698" spans="9:17" ht="12.75">
      <c r="I698" s="2">
        <f t="shared" si="119"/>
        <v>9630</v>
      </c>
      <c r="J698" s="13">
        <f t="shared" si="118"/>
        <v>-6.795894468824313</v>
      </c>
      <c r="K698" s="10">
        <f t="shared" si="114"/>
        <v>233.05972436978809</v>
      </c>
      <c r="L698" s="13">
        <f t="shared" si="116"/>
        <v>16.03893080002126</v>
      </c>
      <c r="M698" s="10">
        <f t="shared" si="117"/>
        <v>-3.154617587075517</v>
      </c>
      <c r="N698" s="10">
        <f t="shared" si="115"/>
        <v>198.79473584246995</v>
      </c>
      <c r="P698" s="13">
        <f t="shared" si="120"/>
        <v>9.243036331196945</v>
      </c>
      <c r="Q698" s="13">
        <f t="shared" si="121"/>
        <v>0</v>
      </c>
    </row>
    <row r="699" spans="9:17" ht="12.75">
      <c r="I699" s="2">
        <f t="shared" si="119"/>
        <v>9645</v>
      </c>
      <c r="J699" s="13">
        <f t="shared" si="118"/>
        <v>-6.805626942296108</v>
      </c>
      <c r="K699" s="10">
        <f t="shared" si="114"/>
        <v>232.95378202505685</v>
      </c>
      <c r="L699" s="13">
        <f t="shared" si="116"/>
        <v>16.060443026989034</v>
      </c>
      <c r="M699" s="10">
        <f t="shared" si="117"/>
        <v>-3.1331053601077414</v>
      </c>
      <c r="N699" s="10">
        <f t="shared" si="115"/>
        <v>198.64283555830755</v>
      </c>
      <c r="P699" s="13">
        <f t="shared" si="120"/>
        <v>9.254816084692926</v>
      </c>
      <c r="Q699" s="13">
        <f t="shared" si="121"/>
        <v>0</v>
      </c>
    </row>
    <row r="700" spans="9:17" ht="12.75">
      <c r="I700" s="2">
        <f t="shared" si="119"/>
        <v>9660</v>
      </c>
      <c r="J700" s="13">
        <f t="shared" si="118"/>
        <v>-6.814798252187394</v>
      </c>
      <c r="K700" s="10">
        <f t="shared" si="114"/>
        <v>232.84768795915568</v>
      </c>
      <c r="L700" s="13">
        <f t="shared" si="116"/>
        <v>16.081399369169585</v>
      </c>
      <c r="M700" s="10">
        <f t="shared" si="117"/>
        <v>-3.112149017927191</v>
      </c>
      <c r="N700" s="10">
        <f t="shared" si="115"/>
        <v>198.49197112502065</v>
      </c>
      <c r="P700" s="13">
        <f t="shared" si="120"/>
        <v>9.26660111698219</v>
      </c>
      <c r="Q700" s="13">
        <f t="shared" si="121"/>
        <v>0</v>
      </c>
    </row>
    <row r="701" spans="9:17" ht="12.75">
      <c r="I701" s="2">
        <f t="shared" si="119"/>
        <v>9675</v>
      </c>
      <c r="J701" s="13">
        <f t="shared" si="118"/>
        <v>-6.823426031975538</v>
      </c>
      <c r="K701" s="10">
        <f t="shared" si="114"/>
        <v>232.74145092015823</v>
      </c>
      <c r="L701" s="13">
        <f t="shared" si="116"/>
        <v>16.101816450552146</v>
      </c>
      <c r="M701" s="10">
        <f t="shared" si="117"/>
        <v>-3.0917319365446296</v>
      </c>
      <c r="N701" s="10">
        <f t="shared" si="115"/>
        <v>198.34211577579683</v>
      </c>
      <c r="P701" s="13">
        <f t="shared" si="120"/>
        <v>9.278390418576608</v>
      </c>
      <c r="Q701" s="13">
        <f t="shared" si="121"/>
        <v>0</v>
      </c>
    </row>
    <row r="702" spans="9:17" ht="12.75">
      <c r="I702" s="2">
        <f t="shared" si="119"/>
        <v>9690</v>
      </c>
      <c r="J702" s="13">
        <f t="shared" si="118"/>
        <v>-6.831527377473169</v>
      </c>
      <c r="K702" s="10">
        <f t="shared" si="114"/>
        <v>232.63507938124692</v>
      </c>
      <c r="L702" s="13">
        <f t="shared" si="116"/>
        <v>16.121710391763575</v>
      </c>
      <c r="M702" s="10">
        <f t="shared" si="117"/>
        <v>-3.071837995333201</v>
      </c>
      <c r="N702" s="10">
        <f t="shared" si="115"/>
        <v>198.19324354429747</v>
      </c>
      <c r="P702" s="13">
        <f t="shared" si="120"/>
        <v>9.290183014290406</v>
      </c>
      <c r="Q702" s="13">
        <f t="shared" si="121"/>
        <v>0</v>
      </c>
    </row>
    <row r="703" spans="9:17" ht="12.75">
      <c r="I703" s="2">
        <f t="shared" si="119"/>
        <v>9705</v>
      </c>
      <c r="J703" s="13">
        <f t="shared" si="118"/>
        <v>-6.839118863171176</v>
      </c>
      <c r="K703" s="10">
        <f t="shared" si="114"/>
        <v>232.5285815490947</v>
      </c>
      <c r="L703" s="13">
        <f t="shared" si="116"/>
        <v>16.141096825337097</v>
      </c>
      <c r="M703" s="10">
        <f t="shared" si="117"/>
        <v>-3.0524515617596784</v>
      </c>
      <c r="N703" s="10">
        <f t="shared" si="115"/>
        <v>198.04532924042</v>
      </c>
      <c r="P703" s="13">
        <f t="shared" si="120"/>
        <v>9.301977962165921</v>
      </c>
      <c r="Q703" s="13">
        <f t="shared" si="121"/>
        <v>0</v>
      </c>
    </row>
    <row r="704" spans="9:17" ht="12.75">
      <c r="I704" s="2">
        <f t="shared" si="119"/>
        <v>9720</v>
      </c>
      <c r="J704" s="13">
        <f t="shared" si="118"/>
        <v>-6.846216558085478</v>
      </c>
      <c r="K704" s="10">
        <f t="shared" si="114"/>
        <v>232.42196537199192</v>
      </c>
      <c r="L704" s="13">
        <f t="shared" si="116"/>
        <v>16.159990910517575</v>
      </c>
      <c r="M704" s="10">
        <f t="shared" si="117"/>
        <v>-3.194847799159845</v>
      </c>
      <c r="N704" s="10">
        <f t="shared" si="115"/>
        <v>197.89834842679528</v>
      </c>
      <c r="P704" s="13">
        <f t="shared" si="120"/>
        <v>9.313774352432096</v>
      </c>
      <c r="Q704" s="13">
        <f t="shared" si="121"/>
        <v>0</v>
      </c>
    </row>
    <row r="705" spans="9:17" ht="12.75">
      <c r="I705" s="2">
        <f t="shared" si="119"/>
        <v>9735</v>
      </c>
      <c r="J705" s="13">
        <f t="shared" si="118"/>
        <v>-6.856471380825091</v>
      </c>
      <c r="K705" s="10">
        <f t="shared" si="114"/>
        <v>232.31523854772638</v>
      </c>
      <c r="L705" s="13">
        <f t="shared" si="116"/>
        <v>16.18204268731986</v>
      </c>
      <c r="M705" s="10">
        <f t="shared" si="117"/>
        <v>-3.1727960223575593</v>
      </c>
      <c r="N705" s="10">
        <f t="shared" si="115"/>
        <v>197.74451098845213</v>
      </c>
      <c r="P705" s="13">
        <f t="shared" si="120"/>
        <v>9.32557130649477</v>
      </c>
      <c r="Q705" s="13">
        <f t="shared" si="121"/>
        <v>0</v>
      </c>
    </row>
    <row r="706" spans="9:17" ht="12.75">
      <c r="I706" s="2">
        <f t="shared" si="119"/>
        <v>9750</v>
      </c>
      <c r="J706" s="13">
        <f t="shared" si="118"/>
        <v>-6.866148375917021</v>
      </c>
      <c r="K706" s="10">
        <f t="shared" si="114"/>
        <v>232.20835185930008</v>
      </c>
      <c r="L706" s="13">
        <f t="shared" si="116"/>
        <v>16.20352260675121</v>
      </c>
      <c r="M706" s="10">
        <f t="shared" si="117"/>
        <v>-3.1513161029262093</v>
      </c>
      <c r="N706" s="10">
        <f t="shared" si="115"/>
        <v>197.59173538124068</v>
      </c>
      <c r="P706" s="13">
        <f t="shared" si="120"/>
        <v>9.33737423083419</v>
      </c>
      <c r="Q706" s="13">
        <f t="shared" si="121"/>
        <v>0</v>
      </c>
    </row>
    <row r="707" spans="9:17" ht="12.75">
      <c r="I707" s="2">
        <f t="shared" si="119"/>
        <v>9765</v>
      </c>
      <c r="J707" s="13">
        <f t="shared" si="118"/>
        <v>-6.875265683906848</v>
      </c>
      <c r="K707" s="10">
        <f t="shared" si="114"/>
        <v>232.10131431456566</v>
      </c>
      <c r="L707" s="13">
        <f t="shared" si="116"/>
        <v>16.22444777440727</v>
      </c>
      <c r="M707" s="10">
        <f t="shared" si="117"/>
        <v>-3.1303909352701496</v>
      </c>
      <c r="N707" s="10">
        <f t="shared" si="115"/>
        <v>197.43999406924104</v>
      </c>
      <c r="P707" s="13">
        <f t="shared" si="120"/>
        <v>9.349182090500422</v>
      </c>
      <c r="Q707" s="13">
        <f t="shared" si="121"/>
        <v>0</v>
      </c>
    </row>
    <row r="708" spans="9:17" ht="12.75">
      <c r="I708" s="2">
        <f t="shared" si="119"/>
        <v>9780</v>
      </c>
      <c r="J708" s="13">
        <f t="shared" si="118"/>
        <v>-6.88384089230993</v>
      </c>
      <c r="K708" s="10">
        <f t="shared" si="114"/>
        <v>231.9941346385797</v>
      </c>
      <c r="L708" s="13">
        <f t="shared" si="116"/>
        <v>16.244834777966233</v>
      </c>
      <c r="M708" s="10">
        <f t="shared" si="117"/>
        <v>-3.110003931711187</v>
      </c>
      <c r="N708" s="10">
        <f t="shared" si="115"/>
        <v>197.2892603401973</v>
      </c>
      <c r="P708" s="13">
        <f t="shared" si="120"/>
        <v>9.360993885656303</v>
      </c>
      <c r="Q708" s="13">
        <f t="shared" si="121"/>
        <v>0</v>
      </c>
    </row>
    <row r="709" spans="9:17" ht="12.75">
      <c r="I709" s="2">
        <f t="shared" si="119"/>
        <v>9795</v>
      </c>
      <c r="J709" s="13">
        <f t="shared" si="118"/>
        <v>-6.891891052419407</v>
      </c>
      <c r="K709" s="10">
        <f t="shared" si="114"/>
        <v>231.8868212822241</v>
      </c>
      <c r="L709" s="13">
        <f t="shared" si="116"/>
        <v>16.264699702897772</v>
      </c>
      <c r="M709" s="10">
        <f t="shared" si="117"/>
        <v>-3.0901390067796477</v>
      </c>
      <c r="N709" s="10">
        <f t="shared" si="115"/>
        <v>197.13950828057887</v>
      </c>
      <c r="P709" s="13">
        <f t="shared" si="120"/>
        <v>9.372808650478365</v>
      </c>
      <c r="Q709" s="13">
        <f t="shared" si="121"/>
        <v>0</v>
      </c>
    </row>
    <row r="710" spans="9:17" ht="12.75">
      <c r="I710" s="2">
        <f t="shared" si="119"/>
        <v>9810</v>
      </c>
      <c r="J710" s="13">
        <f t="shared" si="118"/>
        <v>-6.899432695603878</v>
      </c>
      <c r="K710" s="10">
        <f t="shared" si="114"/>
        <v>231.7793824305652</v>
      </c>
      <c r="L710" s="13">
        <f t="shared" si="116"/>
        <v>16.28405814769512</v>
      </c>
      <c r="M710" s="10">
        <f t="shared" si="117"/>
        <v>-3.232070884562944</v>
      </c>
      <c r="N710" s="10">
        <f t="shared" si="115"/>
        <v>196.99071275139835</v>
      </c>
      <c r="P710" s="13">
        <f t="shared" si="120"/>
        <v>9.384625452091242</v>
      </c>
      <c r="Q710" s="13">
        <f t="shared" si="121"/>
        <v>0</v>
      </c>
    </row>
    <row r="711" spans="9:17" ht="12.75">
      <c r="I711" s="2">
        <f t="shared" si="119"/>
        <v>9825</v>
      </c>
      <c r="J711" s="13">
        <f t="shared" si="118"/>
        <v>-6.910117188812908</v>
      </c>
      <c r="K711" s="10">
        <f t="shared" si="114"/>
        <v>231.67182601095908</v>
      </c>
      <c r="L711" s="13">
        <f t="shared" si="116"/>
        <v>16.30656057834745</v>
      </c>
      <c r="M711" s="10">
        <f t="shared" si="117"/>
        <v>-3.209568453910613</v>
      </c>
      <c r="N711" s="10">
        <f t="shared" si="115"/>
        <v>196.8350829572168</v>
      </c>
      <c r="P711" s="13">
        <f t="shared" si="120"/>
        <v>9.396443389534543</v>
      </c>
      <c r="Q711" s="13">
        <f t="shared" si="121"/>
        <v>0</v>
      </c>
    </row>
    <row r="712" spans="9:17" ht="12.75">
      <c r="I712" s="2">
        <f t="shared" si="119"/>
        <v>9840</v>
      </c>
      <c r="J712" s="13">
        <f t="shared" si="118"/>
        <v>-6.920210048606943</v>
      </c>
      <c r="K712" s="10">
        <f t="shared" si="114"/>
        <v>231.56410302898684</v>
      </c>
      <c r="L712" s="13">
        <f t="shared" si="116"/>
        <v>16.328477858963716</v>
      </c>
      <c r="M712" s="10">
        <f t="shared" si="117"/>
        <v>-3.1876511732943484</v>
      </c>
      <c r="N712" s="10">
        <f t="shared" si="115"/>
        <v>196.680536693928</v>
      </c>
      <c r="P712" s="13">
        <f t="shared" si="120"/>
        <v>9.408267810356772</v>
      </c>
      <c r="Q712" s="13">
        <f t="shared" si="121"/>
        <v>0</v>
      </c>
    </row>
    <row r="713" spans="9:17" ht="12.75">
      <c r="I713" s="2">
        <f t="shared" si="119"/>
        <v>9855</v>
      </c>
      <c r="J713" s="13">
        <f t="shared" si="118"/>
        <v>-6.929729835637307</v>
      </c>
      <c r="K713" s="10">
        <f t="shared" si="114"/>
        <v>231.4562227077215</v>
      </c>
      <c r="L713" s="13">
        <f t="shared" si="116"/>
        <v>16.349827495485812</v>
      </c>
      <c r="M713" s="10">
        <f t="shared" si="117"/>
        <v>-3.1663015367722522</v>
      </c>
      <c r="N713" s="10">
        <f t="shared" si="115"/>
        <v>196.52704578554727</v>
      </c>
      <c r="P713" s="13">
        <f t="shared" si="120"/>
        <v>9.420097659848505</v>
      </c>
      <c r="Q713" s="13">
        <f t="shared" si="121"/>
        <v>0</v>
      </c>
    </row>
    <row r="714" spans="9:17" ht="12.75">
      <c r="I714" s="2">
        <f t="shared" si="119"/>
        <v>9870</v>
      </c>
      <c r="J714" s="13">
        <f t="shared" si="118"/>
        <v>-6.9386945448025035</v>
      </c>
      <c r="K714" s="10">
        <f t="shared" si="114"/>
        <v>231.348193980891</v>
      </c>
      <c r="L714" s="13">
        <f t="shared" si="116"/>
        <v>16.37062646384921</v>
      </c>
      <c r="M714" s="10">
        <f t="shared" si="117"/>
        <v>-3.1455025684088547</v>
      </c>
      <c r="N714" s="10">
        <f t="shared" si="115"/>
        <v>196.37458289903134</v>
      </c>
      <c r="P714" s="13">
        <f t="shared" si="120"/>
        <v>9.431931919046706</v>
      </c>
      <c r="Q714" s="13">
        <f t="shared" si="121"/>
        <v>0</v>
      </c>
    </row>
    <row r="715" spans="9:17" ht="12.75">
      <c r="I715" s="2">
        <f t="shared" si="119"/>
        <v>9885</v>
      </c>
      <c r="J715" s="13">
        <f t="shared" si="118"/>
        <v>-6.947121622441001</v>
      </c>
      <c r="K715" s="10">
        <f t="shared" si="114"/>
        <v>231.2400255016978</v>
      </c>
      <c r="L715" s="13">
        <f t="shared" si="116"/>
        <v>16.390891226057192</v>
      </c>
      <c r="M715" s="10">
        <f t="shared" si="117"/>
        <v>-3.1252378062008717</v>
      </c>
      <c r="N715" s="10">
        <f t="shared" si="115"/>
        <v>196.22312151875744</v>
      </c>
      <c r="P715" s="13">
        <f t="shared" si="120"/>
        <v>9.443769603616191</v>
      </c>
      <c r="Q715" s="13">
        <f t="shared" si="121"/>
        <v>0</v>
      </c>
    </row>
    <row r="716" spans="9:17" ht="12.75">
      <c r="I716" s="2">
        <f t="shared" si="119"/>
        <v>9900</v>
      </c>
      <c r="J716" s="13">
        <f t="shared" si="118"/>
        <v>-6.955027983002108</v>
      </c>
      <c r="K716" s="10">
        <f t="shared" si="114"/>
        <v>231.1317256513704</v>
      </c>
      <c r="L716" s="13">
        <f t="shared" si="116"/>
        <v>16.41063774576726</v>
      </c>
      <c r="M716" s="10">
        <f t="shared" si="117"/>
        <v>-3.1054912864908033</v>
      </c>
      <c r="N716" s="10">
        <f t="shared" si="115"/>
        <v>196.0726359217767</v>
      </c>
      <c r="P716" s="13">
        <f t="shared" si="120"/>
        <v>9.455609762765153</v>
      </c>
      <c r="Q716" s="13">
        <f t="shared" si="121"/>
        <v>0</v>
      </c>
    </row>
    <row r="717" spans="9:17" ht="12.75">
      <c r="I717" s="2">
        <f t="shared" si="119"/>
        <v>9915</v>
      </c>
      <c r="J717" s="13">
        <f t="shared" si="118"/>
        <v>-6.962430025210891</v>
      </c>
      <c r="K717" s="10">
        <f t="shared" si="114"/>
        <v>231.02330254745513</v>
      </c>
      <c r="L717" s="13">
        <f t="shared" si="116"/>
        <v>16.429881503404612</v>
      </c>
      <c r="M717" s="10">
        <f t="shared" si="117"/>
        <v>-3.247537851434096</v>
      </c>
      <c r="N717" s="10">
        <f t="shared" si="115"/>
        <v>195.923101153818</v>
      </c>
      <c r="P717" s="13">
        <f t="shared" si="120"/>
        <v>9.467451478193722</v>
      </c>
      <c r="Q717" s="13">
        <f t="shared" si="121"/>
        <v>0</v>
      </c>
    </row>
    <row r="718" spans="9:17" ht="12.75">
      <c r="I718" s="2">
        <f t="shared" si="119"/>
        <v>9930</v>
      </c>
      <c r="J718" s="13">
        <f t="shared" si="118"/>
        <v>-6.9729789874447725</v>
      </c>
      <c r="K718" s="10">
        <f t="shared" si="114"/>
        <v>230.9147640518558</v>
      </c>
      <c r="L718" s="13">
        <f t="shared" si="116"/>
        <v>16.452272850519375</v>
      </c>
      <c r="M718" s="10">
        <f t="shared" si="117"/>
        <v>-3.2251465043193335</v>
      </c>
      <c r="N718" s="10">
        <f t="shared" si="115"/>
        <v>195.7667265984735</v>
      </c>
      <c r="P718" s="13">
        <f t="shared" si="120"/>
        <v>9.479293863074602</v>
      </c>
      <c r="Q718" s="13">
        <f t="shared" si="121"/>
        <v>0</v>
      </c>
    </row>
    <row r="719" spans="9:17" ht="12.75">
      <c r="I719" s="2">
        <f t="shared" si="119"/>
        <v>9945</v>
      </c>
      <c r="J719" s="13">
        <f t="shared" si="118"/>
        <v>-6.982940305239627</v>
      </c>
      <c r="K719" s="10">
        <f aca="true" t="shared" si="122" ref="K719:K782">MAX(D$8,K718+J718*I$41/VLOOKUP(K718,E$44:G$251,3,TRUE))</f>
        <v>230.80606110670553</v>
      </c>
      <c r="L719" s="13">
        <f t="shared" si="116"/>
        <v>16.474082540299037</v>
      </c>
      <c r="M719" s="10">
        <f t="shared" si="117"/>
        <v>-3.2033368145396715</v>
      </c>
      <c r="N719" s="10">
        <f aca="true" t="shared" si="123" ref="N719:N782">N718+M718*I$41/VLOOKUP(N718,A$44:C$251,3,TRUE)</f>
        <v>195.6114302251576</v>
      </c>
      <c r="P719" s="13">
        <f t="shared" si="120"/>
        <v>9.49114223505941</v>
      </c>
      <c r="Q719" s="13">
        <f t="shared" si="121"/>
        <v>0</v>
      </c>
    </row>
    <row r="720" spans="9:17" ht="12.75">
      <c r="I720" s="2">
        <f t="shared" si="119"/>
        <v>9960</v>
      </c>
      <c r="J720" s="13">
        <f t="shared" si="118"/>
        <v>-6.992332416724853</v>
      </c>
      <c r="K720" s="10">
        <f t="shared" si="122"/>
        <v>230.69720287289257</v>
      </c>
      <c r="L720" s="13">
        <f t="shared" si="116"/>
        <v>16.49532797085537</v>
      </c>
      <c r="M720" s="10">
        <f t="shared" si="117"/>
        <v>-3.1820913839833374</v>
      </c>
      <c r="N720" s="10">
        <f t="shared" si="123"/>
        <v>195.4571840260652</v>
      </c>
      <c r="P720" s="13">
        <f t="shared" si="120"/>
        <v>9.502995554130518</v>
      </c>
      <c r="Q720" s="13">
        <f t="shared" si="121"/>
        <v>0</v>
      </c>
    </row>
    <row r="721" spans="9:17" ht="12.75">
      <c r="I721" s="2">
        <f t="shared" si="119"/>
        <v>9975</v>
      </c>
      <c r="J721" s="13">
        <f t="shared" si="118"/>
        <v>-7.0011731980468</v>
      </c>
      <c r="K721" s="10">
        <f t="shared" si="122"/>
        <v>230.58819822387008</v>
      </c>
      <c r="L721" s="13">
        <f t="shared" si="116"/>
        <v>16.51602601361817</v>
      </c>
      <c r="M721" s="10">
        <f t="shared" si="117"/>
        <v>-3.1613933412205384</v>
      </c>
      <c r="N721" s="10">
        <f t="shared" si="123"/>
        <v>195.30396083114036</v>
      </c>
      <c r="P721" s="13">
        <f t="shared" si="120"/>
        <v>9.51485281557137</v>
      </c>
      <c r="Q721" s="13">
        <f t="shared" si="121"/>
        <v>0</v>
      </c>
    </row>
    <row r="722" spans="9:17" ht="12.75">
      <c r="I722" s="2">
        <f t="shared" si="119"/>
        <v>9990</v>
      </c>
      <c r="J722" s="13">
        <f t="shared" si="118"/>
        <v>-7.009479980445649</v>
      </c>
      <c r="K722" s="10">
        <f t="shared" si="122"/>
        <v>230.47905575441692</v>
      </c>
      <c r="L722" s="13">
        <f t="shared" si="116"/>
        <v>16.536193029306983</v>
      </c>
      <c r="M722" s="10">
        <f t="shared" si="117"/>
        <v>-3.1412263255317256</v>
      </c>
      <c r="N722" s="10">
        <f t="shared" si="123"/>
        <v>195.15173428271564</v>
      </c>
      <c r="P722" s="13">
        <f t="shared" si="120"/>
        <v>9.526713048861334</v>
      </c>
      <c r="Q722" s="13">
        <f t="shared" si="121"/>
        <v>0</v>
      </c>
    </row>
    <row r="723" spans="9:17" ht="12.75">
      <c r="I723" s="2">
        <f t="shared" si="119"/>
        <v>10005</v>
      </c>
      <c r="J723" s="13">
        <f t="shared" si="118"/>
        <v>-7.01726956681412</v>
      </c>
      <c r="K723" s="10">
        <f t="shared" si="122"/>
        <v>230.36978378913233</v>
      </c>
      <c r="L723" s="13">
        <f t="shared" si="116"/>
        <v>16.555844883418345</v>
      </c>
      <c r="M723" s="10">
        <f t="shared" si="117"/>
        <v>-3.121574471420363</v>
      </c>
      <c r="N723" s="10">
        <f t="shared" si="123"/>
        <v>195.0004788109204</v>
      </c>
      <c r="P723" s="13">
        <f t="shared" si="120"/>
        <v>9.538575316604225</v>
      </c>
      <c r="Q723" s="13">
        <f t="shared" si="121"/>
        <v>0</v>
      </c>
    </row>
    <row r="724" spans="9:17" ht="12.75">
      <c r="I724" s="2">
        <f t="shared" si="119"/>
        <v>10020</v>
      </c>
      <c r="J724" s="13">
        <f t="shared" si="118"/>
        <v>-7.02455824775349</v>
      </c>
      <c r="K724" s="10">
        <f t="shared" si="122"/>
        <v>230.26039039067243</v>
      </c>
      <c r="L724" s="13">
        <f t="shared" si="116"/>
        <v>16.57499696124297</v>
      </c>
      <c r="M724" s="10">
        <f t="shared" si="117"/>
        <v>-3.2637127161763857</v>
      </c>
      <c r="N724" s="10">
        <f t="shared" si="123"/>
        <v>194.85016960983518</v>
      </c>
      <c r="P724" s="13">
        <f t="shared" si="120"/>
        <v>9.55043871348948</v>
      </c>
      <c r="Q724" s="13">
        <f t="shared" si="121"/>
        <v>0</v>
      </c>
    </row>
    <row r="725" spans="9:17" ht="12.75">
      <c r="I725" s="2">
        <f t="shared" si="119"/>
        <v>10035</v>
      </c>
      <c r="J725" s="13">
        <f t="shared" si="118"/>
        <v>-7.034997156844742</v>
      </c>
      <c r="K725" s="10">
        <f t="shared" si="122"/>
        <v>230.15088336773644</v>
      </c>
      <c r="L725" s="13">
        <f t="shared" si="116"/>
        <v>16.59729952212978</v>
      </c>
      <c r="M725" s="10">
        <f t="shared" si="117"/>
        <v>-3.241410155289575</v>
      </c>
      <c r="N725" s="10">
        <f t="shared" si="123"/>
        <v>194.69301620682282</v>
      </c>
      <c r="P725" s="13">
        <f t="shared" si="120"/>
        <v>9.562302365285039</v>
      </c>
      <c r="Q725" s="13">
        <f t="shared" si="121"/>
        <v>0</v>
      </c>
    </row>
    <row r="726" spans="9:17" ht="12.75">
      <c r="I726" s="2">
        <f t="shared" si="119"/>
        <v>10050</v>
      </c>
      <c r="J726" s="13">
        <f t="shared" si="118"/>
        <v>-7.044851671755286</v>
      </c>
      <c r="K726" s="10">
        <f t="shared" si="122"/>
        <v>230.0412136108865</v>
      </c>
      <c r="L726" s="13">
        <f t="shared" si="116"/>
        <v>16.619023229907825</v>
      </c>
      <c r="M726" s="10">
        <f t="shared" si="117"/>
        <v>-3.219686447511531</v>
      </c>
      <c r="N726" s="10">
        <f t="shared" si="123"/>
        <v>194.53693671062888</v>
      </c>
      <c r="P726" s="13">
        <f t="shared" si="120"/>
        <v>9.574171558152539</v>
      </c>
      <c r="Q726" s="13">
        <f t="shared" si="121"/>
        <v>0</v>
      </c>
    </row>
    <row r="727" spans="9:17" ht="12.75">
      <c r="I727" s="2">
        <f t="shared" si="119"/>
        <v>10065</v>
      </c>
      <c r="J727" s="13">
        <f t="shared" si="118"/>
        <v>-7.0541401304387765</v>
      </c>
      <c r="K727" s="10">
        <f t="shared" si="122"/>
        <v>229.93139023034206</v>
      </c>
      <c r="L727" s="13">
        <f t="shared" si="116"/>
        <v>16.640185395766817</v>
      </c>
      <c r="M727" s="10">
        <f t="shared" si="117"/>
        <v>-3.1985242816525385</v>
      </c>
      <c r="N727" s="10">
        <f t="shared" si="123"/>
        <v>194.3819032484766</v>
      </c>
      <c r="P727" s="13">
        <f t="shared" si="120"/>
        <v>9.58604526532804</v>
      </c>
      <c r="Q727" s="13">
        <f t="shared" si="121"/>
        <v>0</v>
      </c>
    </row>
    <row r="728" spans="9:17" ht="12.75">
      <c r="I728" s="2">
        <f t="shared" si="119"/>
        <v>10080</v>
      </c>
      <c r="J728" s="13">
        <f t="shared" si="118"/>
        <v>-7.062880311957553</v>
      </c>
      <c r="K728" s="10">
        <f t="shared" si="122"/>
        <v>229.8214220504491</v>
      </c>
      <c r="L728" s="13">
        <f t="shared" si="116"/>
        <v>16.660802806904588</v>
      </c>
      <c r="M728" s="10">
        <f t="shared" si="117"/>
        <v>-3.177906870514768</v>
      </c>
      <c r="N728" s="10">
        <f t="shared" si="123"/>
        <v>194.22788878115293</v>
      </c>
      <c r="P728" s="13">
        <f t="shared" si="120"/>
        <v>9.597922494947035</v>
      </c>
      <c r="Q728" s="13">
        <f t="shared" si="121"/>
        <v>0</v>
      </c>
    </row>
    <row r="729" spans="9:17" ht="12.75">
      <c r="I729" s="2">
        <f t="shared" si="119"/>
        <v>10095</v>
      </c>
      <c r="J729" s="13">
        <f t="shared" si="118"/>
        <v>-7.071089453464335</v>
      </c>
      <c r="K729" s="10">
        <f t="shared" si="122"/>
        <v>229.7113176183927</v>
      </c>
      <c r="L729" s="13">
        <f t="shared" si="116"/>
        <v>16.6808917424157</v>
      </c>
      <c r="M729" s="10">
        <f t="shared" si="117"/>
        <v>-3.1578179350036564</v>
      </c>
      <c r="N729" s="10">
        <f t="shared" si="123"/>
        <v>194.07486707777736</v>
      </c>
      <c r="P729" s="13">
        <f t="shared" si="120"/>
        <v>9.609802288951364</v>
      </c>
      <c r="Q729" s="13">
        <f t="shared" si="121"/>
        <v>0</v>
      </c>
    </row>
    <row r="730" spans="9:17" ht="12.75">
      <c r="I730" s="2">
        <f t="shared" si="119"/>
        <v>10110</v>
      </c>
      <c r="J730" s="13">
        <f t="shared" si="118"/>
        <v>-7.07878426666851</v>
      </c>
      <c r="K730" s="10">
        <f t="shared" si="122"/>
        <v>229.60108521264524</v>
      </c>
      <c r="L730" s="13">
        <f t="shared" si="116"/>
        <v>16.70046798869799</v>
      </c>
      <c r="M730" s="10">
        <f t="shared" si="117"/>
        <v>-3.2995320113020092</v>
      </c>
      <c r="N730" s="10">
        <f t="shared" si="123"/>
        <v>193.9228126913359</v>
      </c>
      <c r="P730" s="13">
        <f t="shared" si="120"/>
        <v>9.62168372202948</v>
      </c>
      <c r="Q730" s="13">
        <f t="shared" si="121"/>
        <v>0</v>
      </c>
    </row>
    <row r="731" spans="9:17" ht="12.75">
      <c r="I731" s="2">
        <f t="shared" si="119"/>
        <v>10125</v>
      </c>
      <c r="J731" s="13">
        <f t="shared" si="118"/>
        <v>-7.089616293505028</v>
      </c>
      <c r="K731" s="10">
        <f t="shared" si="122"/>
        <v>229.49073285115733</v>
      </c>
      <c r="L731" s="13">
        <f t="shared" si="116"/>
        <v>16.72318219409401</v>
      </c>
      <c r="M731" s="10">
        <f t="shared" si="117"/>
        <v>-3.2768178059059885</v>
      </c>
      <c r="N731" s="10">
        <f t="shared" si="123"/>
        <v>193.76393452741104</v>
      </c>
      <c r="P731" s="13">
        <f t="shared" si="120"/>
        <v>9.633565900588984</v>
      </c>
      <c r="Q731" s="13">
        <f t="shared" si="121"/>
        <v>0</v>
      </c>
    </row>
    <row r="732" spans="9:17" ht="12.75">
      <c r="I732" s="2">
        <f t="shared" si="119"/>
        <v>10140</v>
      </c>
      <c r="J732" s="13">
        <f t="shared" si="118"/>
        <v>-7.0998513451630565</v>
      </c>
      <c r="K732" s="10">
        <f t="shared" si="122"/>
        <v>229.38021162737667</v>
      </c>
      <c r="L732" s="13">
        <f t="shared" si="116"/>
        <v>16.745305399679125</v>
      </c>
      <c r="M732" s="10">
        <f t="shared" si="117"/>
        <v>-3.2546946003208745</v>
      </c>
      <c r="N732" s="10">
        <f t="shared" si="123"/>
        <v>193.60615009169854</v>
      </c>
      <c r="P732" s="13">
        <f t="shared" si="120"/>
        <v>9.645454054516069</v>
      </c>
      <c r="Q732" s="13">
        <f t="shared" si="121"/>
        <v>0</v>
      </c>
    </row>
    <row r="733" spans="9:17" ht="12.75">
      <c r="I733" s="2">
        <f t="shared" si="119"/>
        <v>10155</v>
      </c>
      <c r="J733" s="13">
        <f t="shared" si="118"/>
        <v>-7.109508142105412</v>
      </c>
      <c r="K733" s="10">
        <f t="shared" si="122"/>
        <v>229.26953084764997</v>
      </c>
      <c r="L733" s="13">
        <f t="shared" si="116"/>
        <v>16.766855282223112</v>
      </c>
      <c r="M733" s="10">
        <f t="shared" si="117"/>
        <v>-3.233144717776888</v>
      </c>
      <c r="N733" s="10">
        <f t="shared" si="123"/>
        <v>193.44943092653696</v>
      </c>
      <c r="P733" s="13">
        <f t="shared" si="120"/>
        <v>9.6573471401177</v>
      </c>
      <c r="Q733" s="13">
        <f t="shared" si="121"/>
        <v>0</v>
      </c>
    </row>
    <row r="734" spans="9:17" ht="12.75">
      <c r="I734" s="2">
        <f t="shared" si="119"/>
        <v>10170</v>
      </c>
      <c r="J734" s="13">
        <f t="shared" si="118"/>
        <v>-7.118604834327879</v>
      </c>
      <c r="K734" s="10">
        <f t="shared" si="122"/>
        <v>229.1586995264875</v>
      </c>
      <c r="L734" s="13">
        <f t="shared" si="116"/>
        <v>16.78784898347285</v>
      </c>
      <c r="M734" s="10">
        <f t="shared" si="117"/>
        <v>-3.2121510165271516</v>
      </c>
      <c r="N734" s="10">
        <f t="shared" si="123"/>
        <v>193.29374942543188</v>
      </c>
      <c r="P734" s="13">
        <f t="shared" si="120"/>
        <v>9.66924414914497</v>
      </c>
      <c r="Q734" s="13">
        <f t="shared" si="121"/>
        <v>0</v>
      </c>
    </row>
    <row r="735" spans="9:17" ht="12.75">
      <c r="I735" s="2">
        <f t="shared" si="119"/>
        <v>10185</v>
      </c>
      <c r="J735" s="13">
        <f t="shared" si="118"/>
        <v>-7.127159018690682</v>
      </c>
      <c r="K735" s="10">
        <f t="shared" si="122"/>
        <v>229.04772639545618</v>
      </c>
      <c r="L735" s="13">
        <f t="shared" si="116"/>
        <v>16.80830312637399</v>
      </c>
      <c r="M735" s="10">
        <f t="shared" si="117"/>
        <v>-3.191696873626011</v>
      </c>
      <c r="N735" s="10">
        <f t="shared" si="123"/>
        <v>193.13907880729357</v>
      </c>
      <c r="P735" s="13">
        <f t="shared" si="120"/>
        <v>9.681144107683307</v>
      </c>
      <c r="Q735" s="13">
        <f t="shared" si="121"/>
        <v>0</v>
      </c>
    </row>
    <row r="736" spans="9:17" ht="12.75">
      <c r="I736" s="2">
        <f t="shared" si="119"/>
        <v>10200</v>
      </c>
      <c r="J736" s="13">
        <f t="shared" si="118"/>
        <v>-7.1351877557241306</v>
      </c>
      <c r="K736" s="10">
        <f t="shared" si="122"/>
        <v>228.93661991180252</v>
      </c>
      <c r="L736" s="13">
        <f t="shared" si="116"/>
        <v>16.828233830800574</v>
      </c>
      <c r="M736" s="10">
        <f t="shared" si="117"/>
        <v>-3.234266169199426</v>
      </c>
      <c r="N736" s="10">
        <f t="shared" si="123"/>
        <v>192.98539309145585</v>
      </c>
      <c r="P736" s="13">
        <f t="shared" si="120"/>
        <v>9.693046075076444</v>
      </c>
      <c r="Q736" s="13">
        <f t="shared" si="121"/>
        <v>0</v>
      </c>
    </row>
    <row r="737" spans="9:17" ht="12.75">
      <c r="I737" s="2">
        <f t="shared" si="119"/>
        <v>10215</v>
      </c>
      <c r="J737" s="13">
        <f t="shared" si="118"/>
        <v>-7.1441162800588245</v>
      </c>
      <c r="K737" s="10">
        <f t="shared" si="122"/>
        <v>228.82538826681352</v>
      </c>
      <c r="L737" s="13">
        <f t="shared" si="116"/>
        <v>16.84906542294204</v>
      </c>
      <c r="M737" s="10">
        <f t="shared" si="117"/>
        <v>-3.21343457705796</v>
      </c>
      <c r="N737" s="10">
        <f t="shared" si="123"/>
        <v>192.82965759052826</v>
      </c>
      <c r="P737" s="13">
        <f t="shared" si="120"/>
        <v>9.704949142883216</v>
      </c>
      <c r="Q737" s="13">
        <f t="shared" si="121"/>
        <v>0</v>
      </c>
    </row>
    <row r="738" spans="9:17" ht="12.75">
      <c r="I738" s="2">
        <f t="shared" si="119"/>
        <v>10230</v>
      </c>
      <c r="J738" s="13">
        <f t="shared" si="118"/>
        <v>-7.152507557426407</v>
      </c>
      <c r="K738" s="10">
        <f t="shared" si="122"/>
        <v>228.7140174335532</v>
      </c>
      <c r="L738" s="13">
        <f t="shared" si="116"/>
        <v>16.869362337660082</v>
      </c>
      <c r="M738" s="10">
        <f t="shared" si="117"/>
        <v>-3.193137662339918</v>
      </c>
      <c r="N738" s="10">
        <f t="shared" si="123"/>
        <v>192.67492516673394</v>
      </c>
      <c r="P738" s="13">
        <f t="shared" si="120"/>
        <v>9.716854780233675</v>
      </c>
      <c r="Q738" s="13">
        <f t="shared" si="121"/>
        <v>0</v>
      </c>
    </row>
    <row r="739" spans="9:17" ht="12.75">
      <c r="I739" s="2">
        <f t="shared" si="119"/>
        <v>10245</v>
      </c>
      <c r="J739" s="13">
        <f t="shared" si="118"/>
        <v>-7.160378487444579</v>
      </c>
      <c r="K739" s="10">
        <f t="shared" si="122"/>
        <v>228.60251578725516</v>
      </c>
      <c r="L739" s="13">
        <f t="shared" si="116"/>
        <v>16.889140546427992</v>
      </c>
      <c r="M739" s="10">
        <f t="shared" si="117"/>
        <v>-3.173359453572008</v>
      </c>
      <c r="N739" s="10">
        <f t="shared" si="123"/>
        <v>192.52117007443172</v>
      </c>
      <c r="P739" s="13">
        <f t="shared" si="120"/>
        <v>9.728762058983413</v>
      </c>
      <c r="Q739" s="13">
        <f t="shared" si="121"/>
        <v>0</v>
      </c>
    </row>
    <row r="740" spans="9:17" ht="12.75">
      <c r="I740" s="2">
        <f t="shared" si="119"/>
        <v>10260</v>
      </c>
      <c r="J740" s="13">
        <f t="shared" si="118"/>
        <v>-7.167745454604514</v>
      </c>
      <c r="K740" s="10">
        <f t="shared" si="122"/>
        <v>228.49089143970195</v>
      </c>
      <c r="L740" s="13">
        <f t="shared" si="116"/>
        <v>16.908415537418875</v>
      </c>
      <c r="M740" s="10">
        <f t="shared" si="117"/>
        <v>-3.1540844625811246</v>
      </c>
      <c r="N740" s="10">
        <f t="shared" si="123"/>
        <v>192.36836733703436</v>
      </c>
      <c r="P740" s="13">
        <f t="shared" si="120"/>
        <v>9.740670082814361</v>
      </c>
      <c r="Q740" s="13">
        <f t="shared" si="121"/>
        <v>0</v>
      </c>
    </row>
    <row r="741" spans="9:17" ht="12.75">
      <c r="I741" s="2">
        <f t="shared" si="119"/>
        <v>10275</v>
      </c>
      <c r="J741" s="13">
        <f t="shared" si="118"/>
        <v>-7.174624343922407</v>
      </c>
      <c r="K741" s="10">
        <f t="shared" si="122"/>
        <v>228.37915224725555</v>
      </c>
      <c r="L741" s="13">
        <f t="shared" si="116"/>
        <v>16.927202330157638</v>
      </c>
      <c r="M741" s="10">
        <f t="shared" si="117"/>
        <v>-3.1352976698423625</v>
      </c>
      <c r="N741" s="10">
        <f t="shared" si="123"/>
        <v>192.21649272373696</v>
      </c>
      <c r="P741" s="13">
        <f t="shared" si="120"/>
        <v>9.75257798623523</v>
      </c>
      <c r="Q741" s="13">
        <f t="shared" si="121"/>
        <v>0</v>
      </c>
    </row>
    <row r="742" spans="9:17" ht="12.75">
      <c r="I742" s="2">
        <f t="shared" si="119"/>
        <v>10290</v>
      </c>
      <c r="J742" s="13">
        <f t="shared" si="118"/>
        <v>-7.181030556116092</v>
      </c>
      <c r="K742" s="10">
        <f t="shared" si="122"/>
        <v>228.2673058186437</v>
      </c>
      <c r="L742" s="13">
        <f t="shared" si="116"/>
        <v>16.945515489728646</v>
      </c>
      <c r="M742" s="10">
        <f t="shared" si="117"/>
        <v>-3.1169845102713545</v>
      </c>
      <c r="N742" s="10">
        <f t="shared" si="123"/>
        <v>192.0655227269507</v>
      </c>
      <c r="P742" s="13">
        <f t="shared" si="120"/>
        <v>9.764484933612554</v>
      </c>
      <c r="Q742" s="13">
        <f t="shared" si="121"/>
        <v>0</v>
      </c>
    </row>
    <row r="743" spans="9:17" ht="12.75">
      <c r="I743" s="2">
        <f t="shared" si="119"/>
        <v>10305</v>
      </c>
      <c r="J743" s="13">
        <f t="shared" si="118"/>
        <v>-7.186979022321042</v>
      </c>
      <c r="K743" s="10">
        <f t="shared" si="122"/>
        <v>228.15535952250983</v>
      </c>
      <c r="L743" s="13">
        <f t="shared" si="116"/>
        <v>16.96336914055238</v>
      </c>
      <c r="M743" s="10">
        <f t="shared" si="117"/>
        <v>-3.1616308594476195</v>
      </c>
      <c r="N743" s="10">
        <f t="shared" si="123"/>
        <v>191.91543454042065</v>
      </c>
      <c r="P743" s="13">
        <f t="shared" si="120"/>
        <v>9.776390118231339</v>
      </c>
      <c r="Q743" s="13">
        <f t="shared" si="121"/>
        <v>0</v>
      </c>
    </row>
    <row r="744" spans="9:17" ht="12.75">
      <c r="I744" s="2">
        <f t="shared" si="119"/>
        <v>10320</v>
      </c>
      <c r="J744" s="13">
        <f t="shared" si="118"/>
        <v>-7.193892912494251</v>
      </c>
      <c r="K744" s="10">
        <f t="shared" si="122"/>
        <v>228.0433204947333</v>
      </c>
      <c r="L744" s="13">
        <f t="shared" si="116"/>
        <v>16.982185673878803</v>
      </c>
      <c r="M744" s="10">
        <f t="shared" si="117"/>
        <v>-3.142814326121197</v>
      </c>
      <c r="N744" s="10">
        <f t="shared" si="123"/>
        <v>191.76319655508314</v>
      </c>
      <c r="P744" s="13">
        <f t="shared" si="120"/>
        <v>9.788292761384552</v>
      </c>
      <c r="Q744" s="13">
        <f t="shared" si="121"/>
        <v>0</v>
      </c>
    </row>
    <row r="745" spans="9:17" ht="12.75">
      <c r="I745" s="2">
        <f t="shared" si="119"/>
        <v>10335</v>
      </c>
      <c r="J745" s="13">
        <f t="shared" si="118"/>
        <v>-7.200333207468681</v>
      </c>
      <c r="K745" s="10">
        <f t="shared" si="122"/>
        <v>227.93117368515712</v>
      </c>
      <c r="L745" s="13">
        <f t="shared" si="116"/>
        <v>17.000527648307962</v>
      </c>
      <c r="M745" s="10">
        <f t="shared" si="117"/>
        <v>-3.124472351692038</v>
      </c>
      <c r="N745" s="10">
        <f t="shared" si="123"/>
        <v>191.61186461831738</v>
      </c>
      <c r="P745" s="13">
        <f t="shared" si="120"/>
        <v>9.800194440839281</v>
      </c>
      <c r="Q745" s="13">
        <f t="shared" si="121"/>
        <v>0</v>
      </c>
    </row>
    <row r="746" spans="9:17" ht="12.75">
      <c r="I746" s="2">
        <f t="shared" si="119"/>
        <v>10350</v>
      </c>
      <c r="J746" s="13">
        <f t="shared" si="118"/>
        <v>-7.206314865105533</v>
      </c>
      <c r="K746" s="10">
        <f t="shared" si="122"/>
        <v>227.8189264767367</v>
      </c>
      <c r="L746" s="13">
        <f t="shared" si="116"/>
        <v>17.01840921582469</v>
      </c>
      <c r="M746" s="10">
        <f t="shared" si="117"/>
        <v>-3.10659078417531</v>
      </c>
      <c r="N746" s="10">
        <f t="shared" si="123"/>
        <v>191.46141587929304</v>
      </c>
      <c r="P746" s="13">
        <f t="shared" si="120"/>
        <v>9.812094350719157</v>
      </c>
      <c r="Q746" s="13">
        <f t="shared" si="121"/>
        <v>0</v>
      </c>
    </row>
    <row r="747" spans="9:17" ht="12.75">
      <c r="I747" s="2">
        <f t="shared" si="119"/>
        <v>10365</v>
      </c>
      <c r="J747" s="13">
        <f t="shared" si="118"/>
        <v>-7.211852387163956</v>
      </c>
      <c r="K747" s="10">
        <f t="shared" si="122"/>
        <v>227.70658601924677</v>
      </c>
      <c r="L747" s="13">
        <f t="shared" si="116"/>
        <v>17.035844100292334</v>
      </c>
      <c r="M747" s="10">
        <f t="shared" si="117"/>
        <v>-3.0891558997076665</v>
      </c>
      <c r="N747" s="10">
        <f t="shared" si="123"/>
        <v>191.31182816862224</v>
      </c>
      <c r="P747" s="13">
        <f t="shared" si="120"/>
        <v>9.823991713128377</v>
      </c>
      <c r="Q747" s="13">
        <f t="shared" si="121"/>
        <v>0</v>
      </c>
    </row>
    <row r="748" spans="9:17" ht="12.75">
      <c r="I748" s="2">
        <f t="shared" si="119"/>
        <v>10380</v>
      </c>
      <c r="J748" s="13">
        <f t="shared" si="118"/>
        <v>-7.2169598331605656</v>
      </c>
      <c r="K748" s="10">
        <f t="shared" si="122"/>
        <v>227.59415923639182</v>
      </c>
      <c r="L748" s="13">
        <f aca="true" t="shared" si="124" ref="L748:L811">(K748-N748)/D$12</f>
        <v>17.0528456104305</v>
      </c>
      <c r="M748" s="10">
        <f t="shared" si="117"/>
        <v>-3.0721543895695014</v>
      </c>
      <c r="N748" s="10">
        <f t="shared" si="123"/>
        <v>191.16307997774484</v>
      </c>
      <c r="P748" s="13">
        <f t="shared" si="120"/>
        <v>9.835885777269933</v>
      </c>
      <c r="Q748" s="13">
        <f t="shared" si="121"/>
        <v>0</v>
      </c>
    </row>
    <row r="749" spans="9:17" ht="12.75">
      <c r="I749" s="2">
        <f t="shared" si="119"/>
        <v>10395</v>
      </c>
      <c r="J749" s="13">
        <f t="shared" si="118"/>
        <v>-7.221650833808042</v>
      </c>
      <c r="K749" s="10">
        <f t="shared" si="122"/>
        <v>227.48165283270004</v>
      </c>
      <c r="L749" s="13">
        <f t="shared" si="124"/>
        <v>17.069426652398995</v>
      </c>
      <c r="M749" s="10">
        <f t="shared" si="117"/>
        <v>-3.0555733476010047</v>
      </c>
      <c r="N749" s="10">
        <f t="shared" si="123"/>
        <v>191.01515043893855</v>
      </c>
      <c r="P749" s="13">
        <f t="shared" si="120"/>
        <v>9.847775818590954</v>
      </c>
      <c r="Q749" s="13">
        <f t="shared" si="121"/>
        <v>0</v>
      </c>
    </row>
    <row r="750" spans="9:17" ht="12.75">
      <c r="I750" s="2">
        <f t="shared" si="119"/>
        <v>10410</v>
      </c>
      <c r="J750" s="13">
        <f t="shared" si="118"/>
        <v>-7.225938604045956</v>
      </c>
      <c r="K750" s="10">
        <f t="shared" si="122"/>
        <v>227.3690733002082</v>
      </c>
      <c r="L750" s="13">
        <f t="shared" si="124"/>
        <v>17.085599742000266</v>
      </c>
      <c r="M750" s="10">
        <f aca="true" t="shared" si="125" ref="M750:M813">L750-VLOOKUP(N750,A$44:C$251,2,TRUE)</f>
        <v>-3.101900257999734</v>
      </c>
      <c r="N750" s="10">
        <f t="shared" si="123"/>
        <v>190.86801930593492</v>
      </c>
      <c r="P750" s="13">
        <f t="shared" si="120"/>
        <v>9.85966113795431</v>
      </c>
      <c r="Q750" s="13">
        <f t="shared" si="121"/>
        <v>0</v>
      </c>
    </row>
    <row r="751" spans="9:17" ht="12.75">
      <c r="I751" s="2">
        <f t="shared" si="119"/>
        <v>10425</v>
      </c>
      <c r="J751" s="13">
        <f t="shared" si="118"/>
        <v>-7.231244649810504</v>
      </c>
      <c r="K751" s="10">
        <f t="shared" si="122"/>
        <v>227.2564269249432</v>
      </c>
      <c r="L751" s="13">
        <f t="shared" si="124"/>
        <v>17.102785710646224</v>
      </c>
      <c r="M751" s="10">
        <f t="shared" si="125"/>
        <v>-3.0847142893537765</v>
      </c>
      <c r="N751" s="10">
        <f t="shared" si="123"/>
        <v>190.718657452199</v>
      </c>
      <c r="P751" s="13">
        <f t="shared" si="120"/>
        <v>9.87154106083572</v>
      </c>
      <c r="Q751" s="13">
        <f t="shared" si="121"/>
        <v>0</v>
      </c>
    </row>
    <row r="752" spans="9:17" ht="12.75">
      <c r="I752" s="2">
        <f t="shared" si="119"/>
        <v>10440</v>
      </c>
      <c r="J752" s="13">
        <f t="shared" si="118"/>
        <v>-7.236128355506242</v>
      </c>
      <c r="K752" s="10">
        <f t="shared" si="122"/>
        <v>227.14369783283612</v>
      </c>
      <c r="L752" s="13">
        <f t="shared" si="124"/>
        <v>17.11954560439868</v>
      </c>
      <c r="M752" s="10">
        <f t="shared" si="125"/>
        <v>-3.067954395601319</v>
      </c>
      <c r="N752" s="10">
        <f t="shared" si="123"/>
        <v>190.57012313252986</v>
      </c>
      <c r="P752" s="13">
        <f t="shared" si="120"/>
        <v>9.883417248892439</v>
      </c>
      <c r="Q752" s="13">
        <f t="shared" si="121"/>
        <v>0</v>
      </c>
    </row>
    <row r="753" spans="9:17" ht="12.75">
      <c r="I753" s="2">
        <f t="shared" si="119"/>
        <v>10455</v>
      </c>
      <c r="J753" s="13">
        <f t="shared" si="118"/>
        <v>-7.240603113916441</v>
      </c>
      <c r="K753" s="10">
        <f t="shared" si="122"/>
        <v>227.0308926078175</v>
      </c>
      <c r="L753" s="13">
        <f t="shared" si="124"/>
        <v>17.135892108444708</v>
      </c>
      <c r="M753" s="10">
        <f t="shared" si="125"/>
        <v>-3.0516078915552924</v>
      </c>
      <c r="N753" s="10">
        <f t="shared" si="123"/>
        <v>190.42239583068562</v>
      </c>
      <c r="P753" s="13">
        <f t="shared" si="120"/>
        <v>9.895288994528267</v>
      </c>
      <c r="Q753" s="13">
        <f t="shared" si="121"/>
        <v>0</v>
      </c>
    </row>
    <row r="754" spans="9:17" ht="12.75">
      <c r="I754" s="2">
        <f t="shared" si="119"/>
        <v>10470</v>
      </c>
      <c r="J754" s="13">
        <f t="shared" si="118"/>
        <v>-7.244681909309271</v>
      </c>
      <c r="K754" s="10">
        <f t="shared" si="122"/>
        <v>226.91801762503553</v>
      </c>
      <c r="L754" s="13">
        <f t="shared" si="124"/>
        <v>17.15183752433073</v>
      </c>
      <c r="M754" s="10">
        <f t="shared" si="125"/>
        <v>-3.0356624756692696</v>
      </c>
      <c r="N754" s="10">
        <f t="shared" si="123"/>
        <v>190.27545564123807</v>
      </c>
      <c r="P754" s="13">
        <f t="shared" si="120"/>
        <v>9.907155615021459</v>
      </c>
      <c r="Q754" s="13">
        <f t="shared" si="121"/>
        <v>0</v>
      </c>
    </row>
    <row r="755" spans="9:17" ht="12.75">
      <c r="I755" s="2">
        <f t="shared" si="119"/>
        <v>10485</v>
      </c>
      <c r="J755" s="13">
        <f t="shared" si="118"/>
        <v>-7.248377329851738</v>
      </c>
      <c r="K755" s="10">
        <f t="shared" si="122"/>
        <v>226.80507905722445</v>
      </c>
      <c r="L755" s="13">
        <f t="shared" si="124"/>
        <v>17.16739378159029</v>
      </c>
      <c r="M755" s="10">
        <f t="shared" si="125"/>
        <v>-3.0201062184097083</v>
      </c>
      <c r="N755" s="10">
        <f t="shared" si="123"/>
        <v>190.12928325109974</v>
      </c>
      <c r="P755" s="13">
        <f t="shared" si="120"/>
        <v>9.919016451738553</v>
      </c>
      <c r="Q755" s="13">
        <f t="shared" si="121"/>
        <v>0</v>
      </c>
    </row>
    <row r="756" spans="9:17" ht="12.75">
      <c r="I756" s="2">
        <f t="shared" si="119"/>
        <v>10500</v>
      </c>
      <c r="J756" s="13">
        <f t="shared" si="118"/>
        <v>-7.251701579646955</v>
      </c>
      <c r="K756" s="10">
        <f t="shared" si="122"/>
        <v>226.69208288087944</v>
      </c>
      <c r="L756" s="13">
        <f t="shared" si="124"/>
        <v>17.182572449019382</v>
      </c>
      <c r="M756" s="10">
        <f t="shared" si="125"/>
        <v>-3.067427550980618</v>
      </c>
      <c r="N756" s="10">
        <f t="shared" si="123"/>
        <v>189.98385992161076</v>
      </c>
      <c r="P756" s="13">
        <f t="shared" si="120"/>
        <v>9.930870869372427</v>
      </c>
      <c r="Q756" s="13">
        <f t="shared" si="121"/>
        <v>0</v>
      </c>
    </row>
    <row r="757" spans="9:17" ht="12.75">
      <c r="I757" s="2">
        <f t="shared" si="119"/>
        <v>10515</v>
      </c>
      <c r="J757" s="13">
        <f t="shared" si="118"/>
        <v>-7.256075184540425</v>
      </c>
      <c r="K757" s="10">
        <f t="shared" si="122"/>
        <v>226.5790348822439</v>
      </c>
      <c r="L757" s="13">
        <f t="shared" si="124"/>
        <v>17.198793439744286</v>
      </c>
      <c r="M757" s="10">
        <f t="shared" si="125"/>
        <v>-3.0512065602557144</v>
      </c>
      <c r="N757" s="10">
        <f t="shared" si="123"/>
        <v>189.83615798824474</v>
      </c>
      <c r="P757" s="13">
        <f t="shared" si="120"/>
        <v>9.94271825520386</v>
      </c>
      <c r="Q757" s="13">
        <f t="shared" si="121"/>
        <v>0</v>
      </c>
    </row>
    <row r="758" spans="9:17" ht="12.75">
      <c r="I758" s="2">
        <f t="shared" si="119"/>
        <v>10530</v>
      </c>
      <c r="J758" s="13">
        <f t="shared" si="118"/>
        <v>-7.260056593196918</v>
      </c>
      <c r="K758" s="10">
        <f t="shared" si="122"/>
        <v>226.4659187027442</v>
      </c>
      <c r="L758" s="13">
        <f t="shared" si="124"/>
        <v>17.214616909390266</v>
      </c>
      <c r="M758" s="10">
        <f t="shared" si="125"/>
        <v>-3.0353830906097343</v>
      </c>
      <c r="N758" s="10">
        <f t="shared" si="123"/>
        <v>189.68923712359228</v>
      </c>
      <c r="P758" s="13">
        <f t="shared" si="120"/>
        <v>9.954560316193348</v>
      </c>
      <c r="Q758" s="13">
        <f t="shared" si="121"/>
        <v>0</v>
      </c>
    </row>
    <row r="759" spans="9:17" ht="12.75">
      <c r="I759" s="2">
        <f t="shared" si="119"/>
        <v>10545</v>
      </c>
      <c r="J759" s="13">
        <f t="shared" si="118"/>
        <v>-7.263658276419502</v>
      </c>
      <c r="K759" s="10">
        <f t="shared" si="122"/>
        <v>226.3527404563937</v>
      </c>
      <c r="L759" s="13">
        <f t="shared" si="124"/>
        <v>17.23005467960569</v>
      </c>
      <c r="M759" s="10">
        <f t="shared" si="125"/>
        <v>-3.01994532039431</v>
      </c>
      <c r="N759" s="10">
        <f t="shared" si="123"/>
        <v>189.543078186327</v>
      </c>
      <c r="P759" s="13">
        <f t="shared" si="120"/>
        <v>9.966396403186188</v>
      </c>
      <c r="Q759" s="13">
        <f t="shared" si="121"/>
        <v>0</v>
      </c>
    </row>
    <row r="760" spans="9:17" ht="12.75">
      <c r="I760" s="2">
        <f t="shared" si="119"/>
        <v>10560</v>
      </c>
      <c r="J760" s="13">
        <f aca="true" t="shared" si="126" ref="J760:J823">(D$7-K760)*(1/D$13+1/D$14)+D$16*(D$19*D$21*D$17+D$20*D$22*D$18)*(D$7^4-K760^4)-(K760-N760)/D$12</f>
        <v>-7.2668923245441235</v>
      </c>
      <c r="K760" s="10">
        <f t="shared" si="122"/>
        <v>226.23950606279612</v>
      </c>
      <c r="L760" s="13">
        <f t="shared" si="124"/>
        <v>17.245118214589322</v>
      </c>
      <c r="M760" s="10">
        <f t="shared" si="125"/>
        <v>-3.004881785410678</v>
      </c>
      <c r="N760" s="10">
        <f t="shared" si="123"/>
        <v>189.3976626043553</v>
      </c>
      <c r="P760" s="13">
        <f t="shared" si="120"/>
        <v>9.978225890045199</v>
      </c>
      <c r="Q760" s="13">
        <f t="shared" si="121"/>
        <v>0</v>
      </c>
    </row>
    <row r="761" spans="9:17" ht="12.75">
      <c r="I761" s="2">
        <f aca="true" t="shared" si="127" ref="I761:I824">I760+I$41</f>
        <v>10575</v>
      </c>
      <c r="J761" s="13">
        <f t="shared" si="126"/>
        <v>-7.269770459001453</v>
      </c>
      <c r="K761" s="10">
        <f t="shared" si="122"/>
        <v>226.12622125307706</v>
      </c>
      <c r="L761" s="13">
        <f t="shared" si="124"/>
        <v>17.259818631923313</v>
      </c>
      <c r="M761" s="10">
        <f t="shared" si="125"/>
        <v>-2.990181368076687</v>
      </c>
      <c r="N761" s="10">
        <f t="shared" si="123"/>
        <v>189.25297235760453</v>
      </c>
      <c r="P761" s="13">
        <f aca="true" t="shared" si="128" ref="P761:P824">(D$7-K761)*(1/D$13+1/D$14)+D$16*(D$19*D$21*D$17+D$20*D$22*D$18)*(D$7^4-K761^4)</f>
        <v>9.99004817292186</v>
      </c>
      <c r="Q761" s="13">
        <f aca="true" t="shared" si="129" ref="Q761:Q824">IF(K761=D$8,-J761,0)</f>
        <v>0</v>
      </c>
    </row>
    <row r="762" spans="9:17" ht="12.75">
      <c r="I762" s="2">
        <f t="shared" si="127"/>
        <v>10590</v>
      </c>
      <c r="J762" s="13">
        <f t="shared" si="126"/>
        <v>-7.272304043527413</v>
      </c>
      <c r="K762" s="10">
        <f t="shared" si="122"/>
        <v>226.01289157563465</v>
      </c>
      <c r="L762" s="13">
        <f t="shared" si="124"/>
        <v>17.274166713077435</v>
      </c>
      <c r="M762" s="10">
        <f t="shared" si="125"/>
        <v>-2.9758332869225654</v>
      </c>
      <c r="N762" s="10">
        <f t="shared" si="123"/>
        <v>189.10898996133287</v>
      </c>
      <c r="P762" s="13">
        <f t="shared" si="128"/>
        <v>10.001862669550022</v>
      </c>
      <c r="Q762" s="13">
        <f t="shared" si="129"/>
        <v>0</v>
      </c>
    </row>
    <row r="763" spans="9:17" ht="12.75">
      <c r="I763" s="2">
        <f t="shared" si="127"/>
        <v>10605</v>
      </c>
      <c r="J763" s="13">
        <f t="shared" si="126"/>
        <v>-7.274504095033558</v>
      </c>
      <c r="K763" s="10">
        <f t="shared" si="122"/>
        <v>225.89952240171587</v>
      </c>
      <c r="L763" s="13">
        <f t="shared" si="124"/>
        <v>17.288172913594973</v>
      </c>
      <c r="M763" s="10">
        <f t="shared" si="125"/>
        <v>-3.0243270864050267</v>
      </c>
      <c r="N763" s="10">
        <f t="shared" si="123"/>
        <v>188.9656984499448</v>
      </c>
      <c r="P763" s="13">
        <f t="shared" si="128"/>
        <v>10.013668818561415</v>
      </c>
      <c r="Q763" s="13">
        <f t="shared" si="129"/>
        <v>0</v>
      </c>
    </row>
    <row r="764" spans="9:17" ht="12.75">
      <c r="I764" s="2">
        <f t="shared" si="127"/>
        <v>10620</v>
      </c>
      <c r="J764" s="13">
        <f t="shared" si="126"/>
        <v>-7.277789988281846</v>
      </c>
      <c r="K764" s="10">
        <f t="shared" si="122"/>
        <v>225.78611893082322</v>
      </c>
      <c r="L764" s="13">
        <f t="shared" si="124"/>
        <v>17.303256067104215</v>
      </c>
      <c r="M764" s="10">
        <f t="shared" si="125"/>
        <v>-3.009243932895785</v>
      </c>
      <c r="N764" s="10">
        <f t="shared" si="123"/>
        <v>188.8200718783733</v>
      </c>
      <c r="P764" s="13">
        <f t="shared" si="128"/>
        <v>10.025466078822369</v>
      </c>
      <c r="Q764" s="13">
        <f t="shared" si="129"/>
        <v>0</v>
      </c>
    </row>
    <row r="765" spans="9:17" ht="12.75">
      <c r="I765" s="2">
        <f t="shared" si="127"/>
        <v>10635</v>
      </c>
      <c r="J765" s="13">
        <f t="shared" si="126"/>
        <v>-7.2807190727708075</v>
      </c>
      <c r="K765" s="10">
        <f t="shared" si="122"/>
        <v>225.6726642355867</v>
      </c>
      <c r="L765" s="13">
        <f t="shared" si="124"/>
        <v>17.31797528246291</v>
      </c>
      <c r="M765" s="10">
        <f t="shared" si="125"/>
        <v>-2.9945247175370895</v>
      </c>
      <c r="N765" s="10">
        <f t="shared" si="123"/>
        <v>188.67517158668866</v>
      </c>
      <c r="P765" s="13">
        <f t="shared" si="128"/>
        <v>10.037256209692103</v>
      </c>
      <c r="Q765" s="13">
        <f t="shared" si="129"/>
        <v>0</v>
      </c>
    </row>
    <row r="766" spans="9:17" ht="12.75">
      <c r="I766" s="2">
        <f t="shared" si="127"/>
        <v>10650</v>
      </c>
      <c r="J766" s="13">
        <f t="shared" si="126"/>
        <v>-7.283302736465199</v>
      </c>
      <c r="K766" s="10">
        <f t="shared" si="122"/>
        <v>225.5591638783582</v>
      </c>
      <c r="L766" s="13">
        <f t="shared" si="124"/>
        <v>17.332341366165757</v>
      </c>
      <c r="M766" s="10">
        <f t="shared" si="125"/>
        <v>-2.980158633834243</v>
      </c>
      <c r="N766" s="10">
        <f t="shared" si="123"/>
        <v>188.53098005064044</v>
      </c>
      <c r="P766" s="13">
        <f t="shared" si="128"/>
        <v>10.049038629700558</v>
      </c>
      <c r="Q766" s="13">
        <f t="shared" si="129"/>
        <v>0</v>
      </c>
    </row>
    <row r="767" spans="9:17" ht="12.75">
      <c r="I767" s="2">
        <f t="shared" si="127"/>
        <v>10665</v>
      </c>
      <c r="J767" s="13">
        <f t="shared" si="126"/>
        <v>-7.28555201980282</v>
      </c>
      <c r="K767" s="10">
        <f t="shared" si="122"/>
        <v>225.4456232439607</v>
      </c>
      <c r="L767" s="13">
        <f t="shared" si="124"/>
        <v>17.346364798040074</v>
      </c>
      <c r="M767" s="10">
        <f t="shared" si="125"/>
        <v>-2.9661352019599256</v>
      </c>
      <c r="N767" s="10">
        <f t="shared" si="123"/>
        <v>188.38748026632965</v>
      </c>
      <c r="P767" s="13">
        <f t="shared" si="128"/>
        <v>10.060812778237255</v>
      </c>
      <c r="Q767" s="13">
        <f t="shared" si="129"/>
        <v>0</v>
      </c>
    </row>
    <row r="768" spans="9:17" ht="12.75">
      <c r="I768" s="2">
        <f t="shared" si="127"/>
        <v>10680</v>
      </c>
      <c r="J768" s="13">
        <f t="shared" si="126"/>
        <v>-7.287477626255228</v>
      </c>
      <c r="K768" s="10">
        <f t="shared" si="122"/>
        <v>225.33204754510604</v>
      </c>
      <c r="L768" s="13">
        <f t="shared" si="124"/>
        <v>17.360055741144553</v>
      </c>
      <c r="M768" s="10">
        <f t="shared" si="125"/>
        <v>-2.952444258855447</v>
      </c>
      <c r="N768" s="10">
        <f t="shared" si="123"/>
        <v>188.24465573447904</v>
      </c>
      <c r="P768" s="13">
        <f t="shared" si="128"/>
        <v>10.072578114889325</v>
      </c>
      <c r="Q768" s="13">
        <f t="shared" si="129"/>
        <v>0</v>
      </c>
    </row>
    <row r="769" spans="9:17" ht="12.75">
      <c r="I769" s="2">
        <f t="shared" si="127"/>
        <v>10695</v>
      </c>
      <c r="J769" s="13">
        <f t="shared" si="126"/>
        <v>-7.289089932567764</v>
      </c>
      <c r="K769" s="10">
        <f t="shared" si="122"/>
        <v>225.2184418276477</v>
      </c>
      <c r="L769" s="13">
        <f t="shared" si="124"/>
        <v>17.373424051367753</v>
      </c>
      <c r="M769" s="10">
        <f t="shared" si="125"/>
        <v>-2.9390759486322473</v>
      </c>
      <c r="N769" s="10">
        <f t="shared" si="123"/>
        <v>188.10249044518022</v>
      </c>
      <c r="P769" s="13">
        <f t="shared" si="128"/>
        <v>10.084334118799989</v>
      </c>
      <c r="Q769" s="13">
        <f t="shared" si="129"/>
        <v>0</v>
      </c>
    </row>
    <row r="770" spans="9:17" ht="12.75">
      <c r="I770" s="2">
        <f t="shared" si="127"/>
        <v>10710</v>
      </c>
      <c r="J770" s="13">
        <f t="shared" si="126"/>
        <v>-7.290398998688705</v>
      </c>
      <c r="K770" s="10">
        <f t="shared" si="122"/>
        <v>225.1048109756744</v>
      </c>
      <c r="L770" s="13">
        <f t="shared" si="124"/>
        <v>17.386479286735632</v>
      </c>
      <c r="M770" s="10">
        <f t="shared" si="125"/>
        <v>-2.988520713264368</v>
      </c>
      <c r="N770" s="10">
        <f t="shared" si="123"/>
        <v>187.96096886310283</v>
      </c>
      <c r="P770" s="13">
        <f t="shared" si="128"/>
        <v>10.096080288046927</v>
      </c>
      <c r="Q770" s="13">
        <f t="shared" si="129"/>
        <v>0</v>
      </c>
    </row>
    <row r="771" spans="9:17" ht="12.75">
      <c r="I771" s="2">
        <f t="shared" si="127"/>
        <v>10725</v>
      </c>
      <c r="J771" s="13">
        <f t="shared" si="126"/>
        <v>-7.292823271531439</v>
      </c>
      <c r="K771" s="10">
        <f t="shared" si="122"/>
        <v>224.99115971644864</v>
      </c>
      <c r="L771" s="13">
        <f t="shared" si="124"/>
        <v>17.400639410571383</v>
      </c>
      <c r="M771" s="10">
        <f t="shared" si="125"/>
        <v>-2.974360589428617</v>
      </c>
      <c r="N771" s="10">
        <f t="shared" si="123"/>
        <v>187.81706643022795</v>
      </c>
      <c r="P771" s="13">
        <f t="shared" si="128"/>
        <v>10.107816139039944</v>
      </c>
      <c r="Q771" s="13">
        <f t="shared" si="129"/>
        <v>0</v>
      </c>
    </row>
    <row r="772" spans="9:17" ht="12.75">
      <c r="I772" s="2">
        <f t="shared" si="127"/>
        <v>10740</v>
      </c>
      <c r="J772" s="13">
        <f t="shared" si="126"/>
        <v>-7.294919217804592</v>
      </c>
      <c r="K772" s="10">
        <f t="shared" si="122"/>
        <v>224.87747066482476</v>
      </c>
      <c r="L772" s="13">
        <f t="shared" si="124"/>
        <v>17.414462687814144</v>
      </c>
      <c r="M772" s="10">
        <f t="shared" si="125"/>
        <v>-2.9605373121858563</v>
      </c>
      <c r="N772" s="10">
        <f t="shared" si="123"/>
        <v>187.67384583176727</v>
      </c>
      <c r="P772" s="13">
        <f t="shared" si="128"/>
        <v>10.119543470009551</v>
      </c>
      <c r="Q772" s="13">
        <f t="shared" si="129"/>
        <v>0</v>
      </c>
    </row>
    <row r="773" spans="9:17" ht="12.75">
      <c r="I773" s="2">
        <f t="shared" si="127"/>
        <v>10755</v>
      </c>
      <c r="J773" s="13">
        <f t="shared" si="126"/>
        <v>-7.296697352510387</v>
      </c>
      <c r="K773" s="10">
        <f t="shared" si="122"/>
        <v>224.76374893914104</v>
      </c>
      <c r="L773" s="13">
        <f t="shared" si="124"/>
        <v>17.427959106502954</v>
      </c>
      <c r="M773" s="10">
        <f t="shared" si="125"/>
        <v>-2.9470408934970465</v>
      </c>
      <c r="N773" s="10">
        <f t="shared" si="123"/>
        <v>187.53129084797564</v>
      </c>
      <c r="P773" s="13">
        <f t="shared" si="128"/>
        <v>10.131261753992566</v>
      </c>
      <c r="Q773" s="13">
        <f t="shared" si="129"/>
        <v>0</v>
      </c>
    </row>
    <row r="774" spans="9:17" ht="12.75">
      <c r="I774" s="2">
        <f t="shared" si="127"/>
        <v>10770</v>
      </c>
      <c r="J774" s="13">
        <f t="shared" si="126"/>
        <v>-7.298167869689172</v>
      </c>
      <c r="K774" s="10">
        <f t="shared" si="122"/>
        <v>224.64999949381559</v>
      </c>
      <c r="L774" s="13">
        <f t="shared" si="124"/>
        <v>17.441138352826783</v>
      </c>
      <c r="M774" s="10">
        <f t="shared" si="125"/>
        <v>-2.9338616471732166</v>
      </c>
      <c r="N774" s="10">
        <f t="shared" si="123"/>
        <v>187.38938574004928</v>
      </c>
      <c r="P774" s="13">
        <f t="shared" si="128"/>
        <v>10.142970483137612</v>
      </c>
      <c r="Q774" s="13">
        <f t="shared" si="129"/>
        <v>0</v>
      </c>
    </row>
    <row r="775" spans="9:17" ht="12.75">
      <c r="I775" s="2">
        <f t="shared" si="127"/>
        <v>10785</v>
      </c>
      <c r="J775" s="13">
        <f t="shared" si="126"/>
        <v>-7.299340652172674</v>
      </c>
      <c r="K775" s="10">
        <f t="shared" si="122"/>
        <v>224.53622712434986</v>
      </c>
      <c r="L775" s="13">
        <f t="shared" si="124"/>
        <v>17.454009820270052</v>
      </c>
      <c r="M775" s="10">
        <f t="shared" si="125"/>
        <v>-2.920990179729948</v>
      </c>
      <c r="N775" s="10">
        <f t="shared" si="123"/>
        <v>187.24811523559111</v>
      </c>
      <c r="P775" s="13">
        <f t="shared" si="128"/>
        <v>10.154669168097378</v>
      </c>
      <c r="Q775" s="13">
        <f t="shared" si="129"/>
        <v>0</v>
      </c>
    </row>
    <row r="776" spans="9:17" ht="12.75">
      <c r="I776" s="2">
        <f t="shared" si="127"/>
        <v>10800</v>
      </c>
      <c r="J776" s="13">
        <f t="shared" si="126"/>
        <v>-7.300225281041094</v>
      </c>
      <c r="K776" s="10">
        <f t="shared" si="122"/>
        <v>224.42243647218027</v>
      </c>
      <c r="L776" s="13">
        <f t="shared" si="124"/>
        <v>17.466582618480864</v>
      </c>
      <c r="M776" s="10">
        <f t="shared" si="125"/>
        <v>-2.9084173815191363</v>
      </c>
      <c r="N776" s="10">
        <f t="shared" si="123"/>
        <v>187.1074645145166</v>
      </c>
      <c r="P776" s="13">
        <f t="shared" si="128"/>
        <v>10.16635733743977</v>
      </c>
      <c r="Q776" s="13">
        <f t="shared" si="129"/>
        <v>0</v>
      </c>
    </row>
    <row r="777" spans="9:17" ht="12.75">
      <c r="I777" s="2">
        <f t="shared" si="127"/>
        <v>10815</v>
      </c>
      <c r="J777" s="13">
        <f t="shared" si="126"/>
        <v>-7.300831044792959</v>
      </c>
      <c r="K777" s="10">
        <f t="shared" si="122"/>
        <v>224.3086320293821</v>
      </c>
      <c r="L777" s="13">
        <f t="shared" si="124"/>
        <v>17.478865581870295</v>
      </c>
      <c r="M777" s="10">
        <f t="shared" si="125"/>
        <v>-2.958634418129705</v>
      </c>
      <c r="N777" s="10">
        <f t="shared" si="123"/>
        <v>186.96741919538647</v>
      </c>
      <c r="P777" s="13">
        <f t="shared" si="128"/>
        <v>10.178034537077336</v>
      </c>
      <c r="Q777" s="13">
        <f t="shared" si="129"/>
        <v>0</v>
      </c>
    </row>
    <row r="778" spans="9:17" ht="12.75">
      <c r="I778" s="2">
        <f t="shared" si="127"/>
        <v>10830</v>
      </c>
      <c r="J778" s="13">
        <f t="shared" si="126"/>
        <v>-7.302575642371226</v>
      </c>
      <c r="K778" s="10">
        <f t="shared" si="122"/>
        <v>224.19481814323066</v>
      </c>
      <c r="L778" s="13">
        <f t="shared" si="124"/>
        <v>17.492275972085643</v>
      </c>
      <c r="M778" s="10">
        <f t="shared" si="125"/>
        <v>-2.9452240279143567</v>
      </c>
      <c r="N778" s="10">
        <f t="shared" si="123"/>
        <v>186.82495583922952</v>
      </c>
      <c r="P778" s="13">
        <f t="shared" si="128"/>
        <v>10.189700329714418</v>
      </c>
      <c r="Q778" s="13">
        <f t="shared" si="129"/>
        <v>0</v>
      </c>
    </row>
    <row r="779" spans="9:17" ht="12.75">
      <c r="I779" s="2">
        <f t="shared" si="127"/>
        <v>10845</v>
      </c>
      <c r="J779" s="13">
        <f t="shared" si="126"/>
        <v>-7.304014832016961</v>
      </c>
      <c r="K779" s="10">
        <f t="shared" si="122"/>
        <v>224.08097706025342</v>
      </c>
      <c r="L779" s="13">
        <f t="shared" si="124"/>
        <v>17.505371373663248</v>
      </c>
      <c r="M779" s="10">
        <f t="shared" si="125"/>
        <v>-2.932128626336752</v>
      </c>
      <c r="N779" s="10">
        <f t="shared" si="123"/>
        <v>186.6831382165183</v>
      </c>
      <c r="P779" s="13">
        <f t="shared" si="128"/>
        <v>10.201356541646287</v>
      </c>
      <c r="Q779" s="13">
        <f t="shared" si="129"/>
        <v>0</v>
      </c>
    </row>
    <row r="780" spans="9:17" ht="12.75">
      <c r="I780" s="2">
        <f t="shared" si="127"/>
        <v>10860</v>
      </c>
      <c r="J780" s="13">
        <f t="shared" si="126"/>
        <v>-7.305158424884111</v>
      </c>
      <c r="K780" s="10">
        <f t="shared" si="122"/>
        <v>223.9671135415061</v>
      </c>
      <c r="L780" s="13">
        <f t="shared" si="124"/>
        <v>17.51816111474475</v>
      </c>
      <c r="M780" s="10">
        <f t="shared" si="125"/>
        <v>-2.91933888525525</v>
      </c>
      <c r="N780" s="10">
        <f t="shared" si="123"/>
        <v>186.54195116000596</v>
      </c>
      <c r="P780" s="13">
        <f t="shared" si="128"/>
        <v>10.21300268986064</v>
      </c>
      <c r="Q780" s="13">
        <f t="shared" si="129"/>
        <v>0</v>
      </c>
    </row>
    <row r="781" spans="9:17" ht="12.75">
      <c r="I781" s="2">
        <f t="shared" si="127"/>
        <v>10875</v>
      </c>
      <c r="J781" s="13">
        <f t="shared" si="126"/>
        <v>-7.306015932592786</v>
      </c>
      <c r="K781" s="10">
        <f t="shared" si="122"/>
        <v>223.85323219509678</v>
      </c>
      <c r="L781" s="13">
        <f t="shared" si="124"/>
        <v>17.530654241631254</v>
      </c>
      <c r="M781" s="10">
        <f t="shared" si="125"/>
        <v>-2.906845758368746</v>
      </c>
      <c r="N781" s="10">
        <f t="shared" si="123"/>
        <v>186.40137995161183</v>
      </c>
      <c r="P781" s="13">
        <f t="shared" si="128"/>
        <v>10.224638309038468</v>
      </c>
      <c r="Q781" s="13">
        <f t="shared" si="129"/>
        <v>0</v>
      </c>
    </row>
    <row r="782" spans="9:17" ht="12.75">
      <c r="I782" s="2">
        <f t="shared" si="127"/>
        <v>10890</v>
      </c>
      <c r="J782" s="13">
        <f t="shared" si="126"/>
        <v>-7.306596576330929</v>
      </c>
      <c r="K782" s="10">
        <f t="shared" si="122"/>
        <v>223.7393374808552</v>
      </c>
      <c r="L782" s="13">
        <f t="shared" si="124"/>
        <v>17.542859527321475</v>
      </c>
      <c r="M782" s="10">
        <f t="shared" si="125"/>
        <v>-2.8946404726785246</v>
      </c>
      <c r="N782" s="10">
        <f t="shared" si="123"/>
        <v>186.26141030885023</v>
      </c>
      <c r="P782" s="13">
        <f t="shared" si="128"/>
        <v>10.236262950990547</v>
      </c>
      <c r="Q782" s="13">
        <f t="shared" si="129"/>
        <v>0</v>
      </c>
    </row>
    <row r="783" spans="9:17" ht="12.75">
      <c r="I783" s="2">
        <f t="shared" si="127"/>
        <v>10905</v>
      </c>
      <c r="J783" s="13">
        <f t="shared" si="126"/>
        <v>-7.306909295679663</v>
      </c>
      <c r="K783" s="10">
        <f aca="true" t="shared" si="130" ref="K783:K846">MAX(D$8,K782+J782*I$41/VLOOKUP(K782,E$44:G$251,3,TRUE))</f>
        <v>223.6254337148605</v>
      </c>
      <c r="L783" s="13">
        <f t="shared" si="124"/>
        <v>17.554785479791065</v>
      </c>
      <c r="M783" s="10">
        <f t="shared" si="125"/>
        <v>-2.8827145202089355</v>
      </c>
      <c r="N783" s="10">
        <f aca="true" t="shared" si="131" ref="N783:N846">N782+M782*I$41/VLOOKUP(N782,A$44:C$251,3,TRUE)</f>
        <v>186.1220283716705</v>
      </c>
      <c r="P783" s="13">
        <f t="shared" si="128"/>
        <v>10.247876184111401</v>
      </c>
      <c r="Q783" s="13">
        <f t="shared" si="129"/>
        <v>0</v>
      </c>
    </row>
    <row r="784" spans="9:17" ht="12.75">
      <c r="I784" s="2">
        <f t="shared" si="127"/>
        <v>10920</v>
      </c>
      <c r="J784" s="13">
        <f t="shared" si="126"/>
        <v>-7.306962757170524</v>
      </c>
      <c r="K784" s="10">
        <f t="shared" si="130"/>
        <v>223.5115250738311</v>
      </c>
      <c r="L784" s="13">
        <f t="shared" si="124"/>
        <v>17.566440350020812</v>
      </c>
      <c r="M784" s="10">
        <f t="shared" si="125"/>
        <v>-2.9335596499791876</v>
      </c>
      <c r="N784" s="10">
        <f t="shared" si="131"/>
        <v>185.98322068969574</v>
      </c>
      <c r="P784" s="13">
        <f t="shared" si="128"/>
        <v>10.259477592850288</v>
      </c>
      <c r="Q784" s="13">
        <f t="shared" si="129"/>
        <v>0</v>
      </c>
    </row>
    <row r="785" spans="9:17" ht="12.75">
      <c r="I785" s="2">
        <f t="shared" si="127"/>
        <v>10935</v>
      </c>
      <c r="J785" s="13">
        <f t="shared" si="126"/>
        <v>-7.308174056717718</v>
      </c>
      <c r="K785" s="10">
        <f t="shared" si="130"/>
        <v>223.39761559938154</v>
      </c>
      <c r="L785" s="13">
        <f t="shared" si="124"/>
        <v>17.57924083391632</v>
      </c>
      <c r="M785" s="10">
        <f t="shared" si="125"/>
        <v>-2.9207591660836805</v>
      </c>
      <c r="N785" s="10">
        <f t="shared" si="131"/>
        <v>185.84196472692395</v>
      </c>
      <c r="P785" s="13">
        <f t="shared" si="128"/>
        <v>10.271066777198602</v>
      </c>
      <c r="Q785" s="13">
        <f t="shared" si="129"/>
        <v>0</v>
      </c>
    </row>
    <row r="786" spans="9:17" ht="12.75">
      <c r="I786" s="2">
        <f t="shared" si="127"/>
        <v>10950</v>
      </c>
      <c r="J786" s="13">
        <f t="shared" si="126"/>
        <v>-7.309098384531218</v>
      </c>
      <c r="K786" s="10">
        <f t="shared" si="130"/>
        <v>223.2836872417791</v>
      </c>
      <c r="L786" s="13">
        <f t="shared" si="124"/>
        <v>17.59174396742385</v>
      </c>
      <c r="M786" s="10">
        <f t="shared" si="125"/>
        <v>-2.9082560325761513</v>
      </c>
      <c r="N786" s="10">
        <f t="shared" si="131"/>
        <v>185.7013251295554</v>
      </c>
      <c r="P786" s="13">
        <f t="shared" si="128"/>
        <v>10.28264558289263</v>
      </c>
      <c r="Q786" s="13">
        <f t="shared" si="129"/>
        <v>0</v>
      </c>
    </row>
    <row r="787" spans="9:17" ht="12.75">
      <c r="I787" s="2">
        <f t="shared" si="127"/>
        <v>10965</v>
      </c>
      <c r="J787" s="13">
        <f t="shared" si="126"/>
        <v>-7.309744984186331</v>
      </c>
      <c r="K787" s="10">
        <f t="shared" si="130"/>
        <v>223.1697444746745</v>
      </c>
      <c r="L787" s="13">
        <f t="shared" si="124"/>
        <v>17.603958546604655</v>
      </c>
      <c r="M787" s="10">
        <f t="shared" si="125"/>
        <v>-2.8960414533953447</v>
      </c>
      <c r="N787" s="10">
        <f t="shared" si="131"/>
        <v>185.56128757965547</v>
      </c>
      <c r="P787" s="13">
        <f t="shared" si="128"/>
        <v>10.294213562418324</v>
      </c>
      <c r="Q787" s="13">
        <f t="shared" si="129"/>
        <v>0</v>
      </c>
    </row>
    <row r="788" spans="9:17" ht="12.75">
      <c r="I788" s="2">
        <f t="shared" si="127"/>
        <v>10980</v>
      </c>
      <c r="J788" s="13">
        <f t="shared" si="126"/>
        <v>-7.310122817012974</v>
      </c>
      <c r="K788" s="10">
        <f t="shared" si="130"/>
        <v>223.05579162761887</v>
      </c>
      <c r="L788" s="13">
        <f t="shared" si="124"/>
        <v>17.615893101813707</v>
      </c>
      <c r="M788" s="10">
        <f t="shared" si="125"/>
        <v>-2.8841068981862925</v>
      </c>
      <c r="N788" s="10">
        <f t="shared" si="131"/>
        <v>185.42183818283505</v>
      </c>
      <c r="P788" s="13">
        <f t="shared" si="128"/>
        <v>10.305770284800733</v>
      </c>
      <c r="Q788" s="13">
        <f t="shared" si="129"/>
        <v>0</v>
      </c>
    </row>
    <row r="789" spans="9:17" ht="12.75">
      <c r="I789" s="2">
        <f t="shared" si="127"/>
        <v>10995</v>
      </c>
      <c r="J789" s="13">
        <f t="shared" si="126"/>
        <v>-7.3102405706715565</v>
      </c>
      <c r="K789" s="10">
        <f t="shared" si="130"/>
        <v>222.94183289046362</v>
      </c>
      <c r="L789" s="13">
        <f t="shared" si="124"/>
        <v>17.627555905748093</v>
      </c>
      <c r="M789" s="10">
        <f t="shared" si="125"/>
        <v>-2.8724440942519074</v>
      </c>
      <c r="N789" s="10">
        <f t="shared" si="131"/>
        <v>185.28296345545633</v>
      </c>
      <c r="P789" s="13">
        <f t="shared" si="128"/>
        <v>10.317315335076536</v>
      </c>
      <c r="Q789" s="13">
        <f t="shared" si="129"/>
        <v>0</v>
      </c>
    </row>
    <row r="790" spans="9:17" ht="12.75">
      <c r="I790" s="2">
        <f t="shared" si="127"/>
        <v>11010</v>
      </c>
      <c r="J790" s="13">
        <f t="shared" si="126"/>
        <v>-7.310106667468322</v>
      </c>
      <c r="K790" s="10">
        <f t="shared" si="130"/>
        <v>222.8278723176267</v>
      </c>
      <c r="L790" s="13">
        <f t="shared" si="124"/>
        <v>17.638954981251295</v>
      </c>
      <c r="M790" s="10">
        <f t="shared" si="125"/>
        <v>-2.8610450187487046</v>
      </c>
      <c r="N790" s="10">
        <f t="shared" si="131"/>
        <v>185.14465031222622</v>
      </c>
      <c r="P790" s="13">
        <f t="shared" si="128"/>
        <v>10.328848313782974</v>
      </c>
      <c r="Q790" s="13">
        <f t="shared" si="129"/>
        <v>0</v>
      </c>
    </row>
    <row r="791" spans="9:17" ht="12.75">
      <c r="I791" s="2">
        <f t="shared" si="127"/>
        <v>11025</v>
      </c>
      <c r="J791" s="13">
        <f t="shared" si="126"/>
        <v>-7.309729272418364</v>
      </c>
      <c r="K791" s="10">
        <f t="shared" si="130"/>
        <v>222.71391383222942</v>
      </c>
      <c r="L791" s="13">
        <f t="shared" si="124"/>
        <v>17.650098108881064</v>
      </c>
      <c r="M791" s="10">
        <f t="shared" si="125"/>
        <v>-2.849901891118936</v>
      </c>
      <c r="N791" s="10">
        <f t="shared" si="131"/>
        <v>185.00688605416534</v>
      </c>
      <c r="P791" s="13">
        <f t="shared" si="128"/>
        <v>10.3403688364627</v>
      </c>
      <c r="Q791" s="13">
        <f t="shared" si="129"/>
        <v>0</v>
      </c>
    </row>
    <row r="792" spans="9:17" ht="12.75">
      <c r="I792" s="2">
        <f t="shared" si="127"/>
        <v>11040</v>
      </c>
      <c r="J792" s="13">
        <f t="shared" si="126"/>
        <v>-7.309116301063678</v>
      </c>
      <c r="K792" s="10">
        <f t="shared" si="130"/>
        <v>222.5999612301072</v>
      </c>
      <c r="L792" s="13">
        <f t="shared" si="124"/>
        <v>17.660992834247736</v>
      </c>
      <c r="M792" s="10">
        <f t="shared" si="125"/>
        <v>-2.964007165752264</v>
      </c>
      <c r="N792" s="10">
        <f t="shared" si="131"/>
        <v>184.86965835694158</v>
      </c>
      <c r="P792" s="13">
        <f t="shared" si="128"/>
        <v>10.351876533184058</v>
      </c>
      <c r="Q792" s="13">
        <f t="shared" si="129"/>
        <v>0</v>
      </c>
    </row>
    <row r="793" spans="9:17" ht="12.75">
      <c r="I793" s="2">
        <f t="shared" si="127"/>
        <v>11055</v>
      </c>
      <c r="J793" s="13">
        <f t="shared" si="126"/>
        <v>-7.311092815323153</v>
      </c>
      <c r="K793" s="10">
        <f t="shared" si="130"/>
        <v>222.48601818369877</v>
      </c>
      <c r="L793" s="13">
        <f t="shared" si="124"/>
        <v>17.674463863399456</v>
      </c>
      <c r="M793" s="10">
        <f t="shared" si="125"/>
        <v>-2.950536136600544</v>
      </c>
      <c r="N793" s="10">
        <f t="shared" si="131"/>
        <v>184.72693629370903</v>
      </c>
      <c r="P793" s="13">
        <f t="shared" si="128"/>
        <v>10.363371048076303</v>
      </c>
      <c r="Q793" s="13">
        <f t="shared" si="129"/>
        <v>0</v>
      </c>
    </row>
    <row r="794" spans="9:17" ht="12.75">
      <c r="I794" s="2">
        <f t="shared" si="127"/>
        <v>11070</v>
      </c>
      <c r="J794" s="13">
        <f t="shared" si="126"/>
        <v>-7.312760382330902</v>
      </c>
      <c r="K794" s="10">
        <f t="shared" si="130"/>
        <v>222.3720443250763</v>
      </c>
      <c r="L794" s="13">
        <f t="shared" si="124"/>
        <v>17.68761684485663</v>
      </c>
      <c r="M794" s="10">
        <f t="shared" si="125"/>
        <v>-2.937383155143369</v>
      </c>
      <c r="N794" s="10">
        <f t="shared" si="131"/>
        <v>184.5848628837917</v>
      </c>
      <c r="P794" s="13">
        <f t="shared" si="128"/>
        <v>10.37485646252573</v>
      </c>
      <c r="Q794" s="13">
        <f t="shared" si="129"/>
        <v>0</v>
      </c>
    </row>
    <row r="795" spans="9:17" ht="12.75">
      <c r="I795" s="2">
        <f t="shared" si="127"/>
        <v>11085</v>
      </c>
      <c r="J795" s="13">
        <f t="shared" si="126"/>
        <v>-7.314128906964379</v>
      </c>
      <c r="K795" s="10">
        <f t="shared" si="130"/>
        <v>222.25804447047057</v>
      </c>
      <c r="L795" s="13">
        <f t="shared" si="124"/>
        <v>17.70046120153589</v>
      </c>
      <c r="M795" s="10">
        <f t="shared" si="125"/>
        <v>-2.924538798464109</v>
      </c>
      <c r="N795" s="10">
        <f t="shared" si="131"/>
        <v>184.4434228126439</v>
      </c>
      <c r="P795" s="13">
        <f t="shared" si="128"/>
        <v>10.386332294571512</v>
      </c>
      <c r="Q795" s="13">
        <f t="shared" si="129"/>
        <v>0</v>
      </c>
    </row>
    <row r="796" spans="9:17" ht="12.75">
      <c r="I796" s="2">
        <f t="shared" si="127"/>
        <v>11100</v>
      </c>
      <c r="J796" s="13">
        <f t="shared" si="126"/>
        <v>-7.315207991850858</v>
      </c>
      <c r="K796" s="10">
        <f t="shared" si="130"/>
        <v>222.14402328170357</v>
      </c>
      <c r="L796" s="13">
        <f t="shared" si="124"/>
        <v>17.713006071693336</v>
      </c>
      <c r="M796" s="10">
        <f t="shared" si="125"/>
        <v>-2.9119939283066643</v>
      </c>
      <c r="N796" s="10">
        <f t="shared" si="131"/>
        <v>184.30260121944963</v>
      </c>
      <c r="P796" s="13">
        <f t="shared" si="128"/>
        <v>10.397798079842477</v>
      </c>
      <c r="Q796" s="13">
        <f t="shared" si="129"/>
        <v>0</v>
      </c>
    </row>
    <row r="797" spans="9:17" ht="12.75">
      <c r="I797" s="2">
        <f t="shared" si="127"/>
        <v>11115</v>
      </c>
      <c r="J797" s="13">
        <f t="shared" si="126"/>
        <v>-7.316006946548617</v>
      </c>
      <c r="K797" s="10">
        <f t="shared" si="130"/>
        <v>222.02998527090034</v>
      </c>
      <c r="L797" s="13">
        <f t="shared" si="124"/>
        <v>17.72526031754599</v>
      </c>
      <c r="M797" s="10">
        <f t="shared" si="125"/>
        <v>-2.8997396824540083</v>
      </c>
      <c r="N797" s="10">
        <f t="shared" si="131"/>
        <v>184.16238368341573</v>
      </c>
      <c r="P797" s="13">
        <f t="shared" si="128"/>
        <v>10.409253370997375</v>
      </c>
      <c r="Q797" s="13">
        <f t="shared" si="129"/>
        <v>0</v>
      </c>
    </row>
    <row r="798" spans="9:17" ht="12.75">
      <c r="I798" s="2">
        <f t="shared" si="127"/>
        <v>11130</v>
      </c>
      <c r="J798" s="13">
        <f t="shared" si="126"/>
        <v>-7.316534796449522</v>
      </c>
      <c r="K798" s="10">
        <f t="shared" si="130"/>
        <v>221.91593480505762</v>
      </c>
      <c r="L798" s="13">
        <f t="shared" si="124"/>
        <v>17.73723253363204</v>
      </c>
      <c r="M798" s="10">
        <f t="shared" si="125"/>
        <v>-2.8877674663679613</v>
      </c>
      <c r="N798" s="10">
        <f t="shared" si="131"/>
        <v>184.02275621048008</v>
      </c>
      <c r="P798" s="13">
        <f t="shared" si="128"/>
        <v>10.420697737182516</v>
      </c>
      <c r="Q798" s="13">
        <f t="shared" si="129"/>
        <v>0</v>
      </c>
    </row>
    <row r="799" spans="9:17" ht="12.75">
      <c r="I799" s="2">
        <f t="shared" si="127"/>
        <v>11145</v>
      </c>
      <c r="J799" s="13">
        <f t="shared" si="126"/>
        <v>-7.316800291411406</v>
      </c>
      <c r="K799" s="10">
        <f t="shared" si="130"/>
        <v>221.80187611047378</v>
      </c>
      <c r="L799" s="13">
        <f t="shared" si="124"/>
        <v>17.74893105491766</v>
      </c>
      <c r="M799" s="10">
        <f t="shared" si="125"/>
        <v>-3.0010689450823413</v>
      </c>
      <c r="N799" s="10">
        <f t="shared" si="131"/>
        <v>183.88370522042243</v>
      </c>
      <c r="P799" s="13">
        <f t="shared" si="128"/>
        <v>10.432130763506253</v>
      </c>
      <c r="Q799" s="13">
        <f t="shared" si="129"/>
        <v>0</v>
      </c>
    </row>
    <row r="800" spans="9:17" ht="12.75">
      <c r="I800" s="2">
        <f t="shared" si="127"/>
        <v>11160</v>
      </c>
      <c r="J800" s="13">
        <f t="shared" si="126"/>
        <v>-7.319629302397619</v>
      </c>
      <c r="K800" s="10">
        <f t="shared" si="130"/>
        <v>221.68781327704423</v>
      </c>
      <c r="L800" s="13">
        <f t="shared" si="124"/>
        <v>17.76318135292744</v>
      </c>
      <c r="M800" s="10">
        <f t="shared" si="125"/>
        <v>-2.9868186470725604</v>
      </c>
      <c r="N800" s="10">
        <f t="shared" si="131"/>
        <v>183.73919856851742</v>
      </c>
      <c r="P800" s="13">
        <f t="shared" si="128"/>
        <v>10.44355205052982</v>
      </c>
      <c r="Q800" s="13">
        <f t="shared" si="129"/>
        <v>0</v>
      </c>
    </row>
    <row r="801" spans="9:17" ht="12.75">
      <c r="I801" s="2">
        <f t="shared" si="127"/>
        <v>11175</v>
      </c>
      <c r="J801" s="13">
        <f t="shared" si="126"/>
        <v>-7.322124213888333</v>
      </c>
      <c r="K801" s="10">
        <f t="shared" si="130"/>
        <v>221.5737063416854</v>
      </c>
      <c r="L801" s="13">
        <f t="shared" si="124"/>
        <v>17.777089818501405</v>
      </c>
      <c r="M801" s="10">
        <f t="shared" si="125"/>
        <v>-2.9729101814985945</v>
      </c>
      <c r="N801" s="10">
        <f t="shared" si="131"/>
        <v>183.59537809306877</v>
      </c>
      <c r="P801" s="13">
        <f t="shared" si="128"/>
        <v>10.454965604613072</v>
      </c>
      <c r="Q801" s="13">
        <f t="shared" si="129"/>
        <v>0</v>
      </c>
    </row>
    <row r="802" spans="9:17" ht="12.75">
      <c r="I802" s="2">
        <f t="shared" si="127"/>
        <v>11190</v>
      </c>
      <c r="J802" s="13">
        <f t="shared" si="126"/>
        <v>-7.324295690133418</v>
      </c>
      <c r="K802" s="10">
        <f t="shared" si="130"/>
        <v>221.4595605127307</v>
      </c>
      <c r="L802" s="13">
        <f t="shared" si="124"/>
        <v>17.790666594180372</v>
      </c>
      <c r="M802" s="10">
        <f t="shared" si="125"/>
        <v>-2.9593334058196277</v>
      </c>
      <c r="N802" s="10">
        <f t="shared" si="131"/>
        <v>183.45222733425445</v>
      </c>
      <c r="P802" s="13">
        <f t="shared" si="128"/>
        <v>10.466370904046954</v>
      </c>
      <c r="Q802" s="13">
        <f t="shared" si="129"/>
        <v>0</v>
      </c>
    </row>
    <row r="803" spans="9:17" ht="12.75">
      <c r="I803" s="2">
        <f t="shared" si="127"/>
        <v>11205</v>
      </c>
      <c r="J803" s="13">
        <f t="shared" si="126"/>
        <v>-7.326154070145158</v>
      </c>
      <c r="K803" s="10">
        <f t="shared" si="130"/>
        <v>221.34538083226667</v>
      </c>
      <c r="L803" s="13">
        <f t="shared" si="124"/>
        <v>17.803921516083737</v>
      </c>
      <c r="M803" s="10">
        <f t="shared" si="125"/>
        <v>-2.9460784839162635</v>
      </c>
      <c r="N803" s="10">
        <f t="shared" si="131"/>
        <v>183.30973032063324</v>
      </c>
      <c r="P803" s="13">
        <f t="shared" si="128"/>
        <v>10.477767445938579</v>
      </c>
      <c r="Q803" s="13">
        <f t="shared" si="129"/>
        <v>0</v>
      </c>
    </row>
    <row r="804" spans="9:17" ht="12.75">
      <c r="I804" s="2">
        <f t="shared" si="127"/>
        <v>11220</v>
      </c>
      <c r="J804" s="13">
        <f t="shared" si="126"/>
        <v>-7.327709377575438</v>
      </c>
      <c r="K804" s="10">
        <f t="shared" si="130"/>
        <v>221.2311721812033</v>
      </c>
      <c r="L804" s="13">
        <f t="shared" si="124"/>
        <v>17.816864123189188</v>
      </c>
      <c r="M804" s="10">
        <f t="shared" si="125"/>
        <v>-2.9331358768108124</v>
      </c>
      <c r="N804" s="10">
        <f t="shared" si="131"/>
        <v>183.16787155439005</v>
      </c>
      <c r="P804" s="13">
        <f t="shared" si="128"/>
        <v>10.48915474561375</v>
      </c>
      <c r="Q804" s="13">
        <f t="shared" si="129"/>
        <v>0</v>
      </c>
    </row>
    <row r="805" spans="9:17" ht="12.75">
      <c r="I805" s="2">
        <f t="shared" si="127"/>
        <v>11235</v>
      </c>
      <c r="J805" s="13">
        <f t="shared" si="126"/>
        <v>-7.328971330293205</v>
      </c>
      <c r="K805" s="10">
        <f t="shared" si="130"/>
        <v>221.11693928419015</v>
      </c>
      <c r="L805" s="13">
        <f t="shared" si="124"/>
        <v>17.829503666331185</v>
      </c>
      <c r="M805" s="10">
        <f t="shared" si="125"/>
        <v>-2.9204963336688152</v>
      </c>
      <c r="N805" s="10">
        <f t="shared" si="131"/>
        <v>183.02663599702808</v>
      </c>
      <c r="P805" s="13">
        <f t="shared" si="128"/>
        <v>10.50053233603798</v>
      </c>
      <c r="Q805" s="13">
        <f t="shared" si="129"/>
        <v>0</v>
      </c>
    </row>
    <row r="806" spans="9:17" ht="12.75">
      <c r="I806" s="2">
        <f t="shared" si="127"/>
        <v>11250</v>
      </c>
      <c r="J806" s="13">
        <f t="shared" si="126"/>
        <v>-7.329949349671342</v>
      </c>
      <c r="K806" s="10">
        <f t="shared" si="130"/>
        <v>221.00268671438332</v>
      </c>
      <c r="L806" s="13">
        <f t="shared" si="124"/>
        <v>17.841849116926827</v>
      </c>
      <c r="M806" s="10">
        <f t="shared" si="125"/>
        <v>-3.033150883073173</v>
      </c>
      <c r="N806" s="10">
        <f t="shared" si="131"/>
        <v>182.88600905549418</v>
      </c>
      <c r="P806" s="13">
        <f t="shared" si="128"/>
        <v>10.511899767255485</v>
      </c>
      <c r="Q806" s="13">
        <f t="shared" si="129"/>
        <v>0</v>
      </c>
    </row>
    <row r="807" spans="9:17" ht="12.75">
      <c r="I807" s="2">
        <f t="shared" si="127"/>
        <v>11265</v>
      </c>
      <c r="J807" s="13">
        <f t="shared" si="126"/>
        <v>-7.333469957860894</v>
      </c>
      <c r="K807" s="10">
        <f t="shared" si="130"/>
        <v>220.88841889806747</v>
      </c>
      <c r="L807" s="13">
        <f t="shared" si="124"/>
        <v>17.85672656370649</v>
      </c>
      <c r="M807" s="10">
        <f t="shared" si="125"/>
        <v>-3.0182734362935086</v>
      </c>
      <c r="N807" s="10">
        <f t="shared" si="131"/>
        <v>182.73995760287633</v>
      </c>
      <c r="P807" s="13">
        <f t="shared" si="128"/>
        <v>10.523256605845598</v>
      </c>
      <c r="Q807" s="13">
        <f t="shared" si="129"/>
        <v>0</v>
      </c>
    </row>
    <row r="808" spans="9:17" ht="12.75">
      <c r="I808" s="2">
        <f t="shared" si="127"/>
        <v>11280</v>
      </c>
      <c r="J808" s="13">
        <f t="shared" si="126"/>
        <v>-7.336636203441408</v>
      </c>
      <c r="K808" s="10">
        <f t="shared" si="130"/>
        <v>220.77409619839696</v>
      </c>
      <c r="L808" s="13">
        <f t="shared" si="124"/>
        <v>17.871242996052974</v>
      </c>
      <c r="M808" s="10">
        <f t="shared" si="125"/>
        <v>-3.003757003947026</v>
      </c>
      <c r="N808" s="10">
        <f t="shared" si="131"/>
        <v>182.59462252501106</v>
      </c>
      <c r="P808" s="13">
        <f t="shared" si="128"/>
        <v>10.534606792611566</v>
      </c>
      <c r="Q808" s="13">
        <f t="shared" si="129"/>
        <v>0</v>
      </c>
    </row>
    <row r="809" spans="9:17" ht="12.75">
      <c r="I809" s="2">
        <f t="shared" si="127"/>
        <v>11295</v>
      </c>
      <c r="J809" s="13">
        <f t="shared" si="126"/>
        <v>-7.339459361638317</v>
      </c>
      <c r="K809" s="10">
        <f t="shared" si="130"/>
        <v>220.65972413959022</v>
      </c>
      <c r="L809" s="13">
        <f t="shared" si="124"/>
        <v>17.88540913671329</v>
      </c>
      <c r="M809" s="10">
        <f t="shared" si="125"/>
        <v>-2.989590863286711</v>
      </c>
      <c r="N809" s="10">
        <f t="shared" si="131"/>
        <v>182.44998643843002</v>
      </c>
      <c r="P809" s="13">
        <f t="shared" si="128"/>
        <v>10.545949775074972</v>
      </c>
      <c r="Q809" s="13">
        <f t="shared" si="129"/>
        <v>0</v>
      </c>
    </row>
    <row r="810" spans="9:17" ht="12.75">
      <c r="I810" s="2">
        <f t="shared" si="127"/>
        <v>11310</v>
      </c>
      <c r="J810" s="13">
        <f t="shared" si="126"/>
        <v>-7.341950363957691</v>
      </c>
      <c r="K810" s="10">
        <f t="shared" si="130"/>
        <v>220.54530807009436</v>
      </c>
      <c r="L810" s="13">
        <f t="shared" si="124"/>
        <v>17.89923538447736</v>
      </c>
      <c r="M810" s="10">
        <f t="shared" si="125"/>
        <v>-2.975764615522639</v>
      </c>
      <c r="N810" s="10">
        <f t="shared" si="131"/>
        <v>182.30603247598364</v>
      </c>
      <c r="P810" s="13">
        <f t="shared" si="128"/>
        <v>10.55728502051967</v>
      </c>
      <c r="Q810" s="13">
        <f t="shared" si="129"/>
        <v>0</v>
      </c>
    </row>
    <row r="811" spans="9:17" ht="12.75">
      <c r="I811" s="2">
        <f t="shared" si="127"/>
        <v>11325</v>
      </c>
      <c r="J811" s="13">
        <f t="shared" si="126"/>
        <v>-7.344119808622525</v>
      </c>
      <c r="K811" s="10">
        <f t="shared" si="130"/>
        <v>220.43085316794333</v>
      </c>
      <c r="L811" s="13">
        <f t="shared" si="124"/>
        <v>17.91273182398782</v>
      </c>
      <c r="M811" s="10">
        <f t="shared" si="125"/>
        <v>-2.9622681760121807</v>
      </c>
      <c r="N811" s="10">
        <f t="shared" si="131"/>
        <v>182.16274427124208</v>
      </c>
      <c r="P811" s="13">
        <f t="shared" si="128"/>
        <v>10.568612015365295</v>
      </c>
      <c r="Q811" s="13">
        <f t="shared" si="129"/>
        <v>0</v>
      </c>
    </row>
    <row r="812" spans="9:17" ht="12.75">
      <c r="I812" s="2">
        <f t="shared" si="127"/>
        <v>11340</v>
      </c>
      <c r="J812" s="13">
        <f t="shared" si="126"/>
        <v>-7.345977970692575</v>
      </c>
      <c r="K812" s="10">
        <f t="shared" si="130"/>
        <v>220.3163644459536</v>
      </c>
      <c r="L812" s="13">
        <f aca="true" t="shared" si="132" ref="L812:L875">(K812-N812)/D$12</f>
        <v>17.925908235252663</v>
      </c>
      <c r="M812" s="10">
        <f t="shared" si="125"/>
        <v>-2.9490917647473367</v>
      </c>
      <c r="N812" s="10">
        <f t="shared" si="131"/>
        <v>182.02010594336838</v>
      </c>
      <c r="P812" s="13">
        <f t="shared" si="128"/>
        <v>10.579930264560089</v>
      </c>
      <c r="Q812" s="13">
        <f t="shared" si="129"/>
        <v>0</v>
      </c>
    </row>
    <row r="813" spans="9:17" ht="12.75">
      <c r="I813" s="2">
        <f t="shared" si="127"/>
        <v>11355</v>
      </c>
      <c r="J813" s="13">
        <f t="shared" si="126"/>
        <v>-7.347534811876962</v>
      </c>
      <c r="K813" s="10">
        <f t="shared" si="130"/>
        <v>220.20184675676208</v>
      </c>
      <c r="L813" s="13">
        <f t="shared" si="132"/>
        <v>17.938774102869537</v>
      </c>
      <c r="M813" s="10">
        <f t="shared" si="125"/>
        <v>-3.0612258971304627</v>
      </c>
      <c r="N813" s="10">
        <f t="shared" si="131"/>
        <v>181.87810208244989</v>
      </c>
      <c r="P813" s="13">
        <f t="shared" si="128"/>
        <v>10.591239290992576</v>
      </c>
      <c r="Q813" s="13">
        <f t="shared" si="129"/>
        <v>0</v>
      </c>
    </row>
    <row r="814" spans="9:17" ht="12.75">
      <c r="I814" s="2">
        <f t="shared" si="127"/>
        <v>11370</v>
      </c>
      <c r="J814" s="13">
        <f t="shared" si="126"/>
        <v>-7.351617378318405</v>
      </c>
      <c r="K814" s="10">
        <f t="shared" si="130"/>
        <v>220.08730479771083</v>
      </c>
      <c r="L814" s="13">
        <f t="shared" si="132"/>
        <v>17.954156013239857</v>
      </c>
      <c r="M814" s="10">
        <f aca="true" t="shared" si="133" ref="M814:M877">L814-VLOOKUP(N814,A$44:C$251,2,TRUE)</f>
        <v>-3.0458439867601435</v>
      </c>
      <c r="N814" s="10">
        <f t="shared" si="131"/>
        <v>181.7306987694257</v>
      </c>
      <c r="P814" s="13">
        <f t="shared" si="128"/>
        <v>10.602538634921451</v>
      </c>
      <c r="Q814" s="13">
        <f t="shared" si="129"/>
        <v>0</v>
      </c>
    </row>
    <row r="815" spans="9:17" ht="12.75">
      <c r="I815" s="2">
        <f t="shared" si="127"/>
        <v>11385</v>
      </c>
      <c r="J815" s="13">
        <f t="shared" si="126"/>
        <v>-7.355329259198255</v>
      </c>
      <c r="K815" s="10">
        <f t="shared" si="130"/>
        <v>219.97269919484296</v>
      </c>
      <c r="L815" s="13">
        <f t="shared" si="132"/>
        <v>17.9691614383768</v>
      </c>
      <c r="M815" s="10">
        <f t="shared" si="133"/>
        <v>-3.0308385616231988</v>
      </c>
      <c r="N815" s="10">
        <f t="shared" si="131"/>
        <v>181.58403612194707</v>
      </c>
      <c r="P815" s="13">
        <f t="shared" si="128"/>
        <v>10.613832179178546</v>
      </c>
      <c r="Q815" s="13">
        <f t="shared" si="129"/>
        <v>0</v>
      </c>
    </row>
    <row r="816" spans="9:17" ht="12.75">
      <c r="I816" s="2">
        <f t="shared" si="127"/>
        <v>11400</v>
      </c>
      <c r="J816" s="13">
        <f t="shared" si="126"/>
        <v>-7.358682221142802</v>
      </c>
      <c r="K816" s="10">
        <f t="shared" si="130"/>
        <v>219.8580357268382</v>
      </c>
      <c r="L816" s="13">
        <f t="shared" si="132"/>
        <v>17.983801568834956</v>
      </c>
      <c r="M816" s="10">
        <f t="shared" si="133"/>
        <v>-3.0161984311650443</v>
      </c>
      <c r="N816" s="10">
        <f t="shared" si="131"/>
        <v>181.4380960115999</v>
      </c>
      <c r="P816" s="13">
        <f t="shared" si="128"/>
        <v>10.625119347692154</v>
      </c>
      <c r="Q816" s="13">
        <f t="shared" si="129"/>
        <v>0</v>
      </c>
    </row>
    <row r="817" spans="9:17" ht="12.75">
      <c r="I817" s="2">
        <f t="shared" si="127"/>
        <v>11415</v>
      </c>
      <c r="J817" s="13">
        <f t="shared" si="126"/>
        <v>-7.3616876722067826</v>
      </c>
      <c r="K817" s="10">
        <f t="shared" si="130"/>
        <v>219.74331998894436</v>
      </c>
      <c r="L817" s="13">
        <f t="shared" si="132"/>
        <v>17.99808725708199</v>
      </c>
      <c r="M817" s="10">
        <f t="shared" si="133"/>
        <v>-3.001912742918009</v>
      </c>
      <c r="N817" s="10">
        <f t="shared" si="131"/>
        <v>181.29286084881466</v>
      </c>
      <c r="P817" s="13">
        <f t="shared" si="128"/>
        <v>10.636399584875209</v>
      </c>
      <c r="Q817" s="13">
        <f t="shared" si="129"/>
        <v>0</v>
      </c>
    </row>
    <row r="818" spans="9:17" ht="12.75">
      <c r="I818" s="2">
        <f t="shared" si="127"/>
        <v>11430</v>
      </c>
      <c r="J818" s="13">
        <f t="shared" si="126"/>
        <v>-7.364356672758825</v>
      </c>
      <c r="K818" s="10">
        <f t="shared" si="130"/>
        <v>219.62855739856712</v>
      </c>
      <c r="L818" s="13">
        <f t="shared" si="132"/>
        <v>18.01202902773547</v>
      </c>
      <c r="M818" s="10">
        <f t="shared" si="133"/>
        <v>-2.987970972264531</v>
      </c>
      <c r="N818" s="10">
        <f t="shared" si="131"/>
        <v>181.1483135665868</v>
      </c>
      <c r="P818" s="13">
        <f t="shared" si="128"/>
        <v>10.647672354976644</v>
      </c>
      <c r="Q818" s="13">
        <f t="shared" si="129"/>
        <v>0</v>
      </c>
    </row>
    <row r="819" spans="9:17" ht="12.75">
      <c r="I819" s="2">
        <f t="shared" si="127"/>
        <v>11445</v>
      </c>
      <c r="J819" s="13">
        <f t="shared" si="126"/>
        <v>-7.366699946036542</v>
      </c>
      <c r="K819" s="10">
        <f t="shared" si="130"/>
        <v>219.51375320069025</v>
      </c>
      <c r="L819" s="13">
        <f t="shared" si="132"/>
        <v>18.025637087489308</v>
      </c>
      <c r="M819" s="10">
        <f t="shared" si="133"/>
        <v>-2.974362912510692</v>
      </c>
      <c r="N819" s="10">
        <f t="shared" si="131"/>
        <v>181.00443760469037</v>
      </c>
      <c r="P819" s="13">
        <f t="shared" si="128"/>
        <v>10.658937141452766</v>
      </c>
      <c r="Q819" s="13">
        <f t="shared" si="129"/>
        <v>0</v>
      </c>
    </row>
    <row r="820" spans="9:17" ht="12.75">
      <c r="I820" s="2">
        <f t="shared" si="127"/>
        <v>11460</v>
      </c>
      <c r="J820" s="13">
        <f t="shared" si="126"/>
        <v>-7.3687278883815175</v>
      </c>
      <c r="K820" s="10">
        <f t="shared" si="130"/>
        <v>219.39891247313116</v>
      </c>
      <c r="L820" s="13">
        <f t="shared" si="132"/>
        <v>18.03892133473962</v>
      </c>
      <c r="M820" s="10">
        <f t="shared" si="133"/>
        <v>-3.0860786652603807</v>
      </c>
      <c r="N820" s="10">
        <f t="shared" si="131"/>
        <v>180.86121689436925</v>
      </c>
      <c r="P820" s="13">
        <f t="shared" si="128"/>
        <v>10.670193446358102</v>
      </c>
      <c r="Q820" s="13">
        <f t="shared" si="129"/>
        <v>0</v>
      </c>
    </row>
    <row r="821" spans="9:17" ht="12.75">
      <c r="I821" s="2">
        <f t="shared" si="127"/>
        <v>11475</v>
      </c>
      <c r="J821" s="13">
        <f t="shared" si="126"/>
        <v>-7.373267967432978</v>
      </c>
      <c r="K821" s="10">
        <f t="shared" si="130"/>
        <v>219.2840401316369</v>
      </c>
      <c r="L821" s="13">
        <f t="shared" si="132"/>
        <v>18.05470875718807</v>
      </c>
      <c r="M821" s="10">
        <f t="shared" si="133"/>
        <v>-3.0702912428119298</v>
      </c>
      <c r="N821" s="10">
        <f t="shared" si="131"/>
        <v>180.71261687764422</v>
      </c>
      <c r="P821" s="13">
        <f t="shared" si="128"/>
        <v>10.681440789755092</v>
      </c>
      <c r="Q821" s="13">
        <f t="shared" si="129"/>
        <v>0</v>
      </c>
    </row>
    <row r="822" spans="9:17" ht="12.75">
      <c r="I822" s="2">
        <f t="shared" si="127"/>
        <v>11490</v>
      </c>
      <c r="J822" s="13">
        <f t="shared" si="126"/>
        <v>-7.377424213442888</v>
      </c>
      <c r="K822" s="10">
        <f t="shared" si="130"/>
        <v>219.16909701408483</v>
      </c>
      <c r="L822" s="13">
        <f t="shared" si="132"/>
        <v>18.070107216027495</v>
      </c>
      <c r="M822" s="10">
        <f t="shared" si="133"/>
        <v>-3.0548927839725053</v>
      </c>
      <c r="N822" s="10">
        <f t="shared" si="131"/>
        <v>180.56477705257154</v>
      </c>
      <c r="P822" s="13">
        <f t="shared" si="128"/>
        <v>10.692683002584607</v>
      </c>
      <c r="Q822" s="13">
        <f t="shared" si="129"/>
        <v>0</v>
      </c>
    </row>
    <row r="823" spans="9:17" ht="12.75">
      <c r="I823" s="2">
        <f t="shared" si="127"/>
        <v>11505</v>
      </c>
      <c r="J823" s="13">
        <f t="shared" si="126"/>
        <v>-7.381208788083718</v>
      </c>
      <c r="K823" s="10">
        <f t="shared" si="130"/>
        <v>219.0540891041129</v>
      </c>
      <c r="L823" s="13">
        <f t="shared" si="132"/>
        <v>18.085128279001783</v>
      </c>
      <c r="M823" s="10">
        <f t="shared" si="133"/>
        <v>-3.0398717209982173</v>
      </c>
      <c r="N823" s="10">
        <f t="shared" si="131"/>
        <v>180.41767868988182</v>
      </c>
      <c r="P823" s="13">
        <f t="shared" si="128"/>
        <v>10.703919490918064</v>
      </c>
      <c r="Q823" s="13">
        <f t="shared" si="129"/>
        <v>0</v>
      </c>
    </row>
    <row r="824" spans="9:17" ht="12.75">
      <c r="I824" s="2">
        <f t="shared" si="127"/>
        <v>11520</v>
      </c>
      <c r="J824" s="13">
        <f aca="true" t="shared" si="134" ref="J824:J887">(D$7-K824)*(1/D$13+1/D$14)+D$16*(D$19*D$21*D$17+D$20*D$22*D$18)*(D$7^4-K824^4)-(K824-N824)/D$12</f>
        <v>-7.3846334825286135</v>
      </c>
      <c r="K824" s="10">
        <f t="shared" si="130"/>
        <v>218.93902219576879</v>
      </c>
      <c r="L824" s="13">
        <f t="shared" si="132"/>
        <v>18.099783164383823</v>
      </c>
      <c r="M824" s="10">
        <f t="shared" si="133"/>
        <v>-3.0252168356161775</v>
      </c>
      <c r="N824" s="10">
        <f t="shared" si="131"/>
        <v>180.27130361731244</v>
      </c>
      <c r="P824" s="13">
        <f t="shared" si="128"/>
        <v>10.715149681855209</v>
      </c>
      <c r="Q824" s="13">
        <f t="shared" si="129"/>
        <v>0</v>
      </c>
    </row>
    <row r="825" spans="9:17" ht="12.75">
      <c r="I825" s="2">
        <f aca="true" t="shared" si="135" ref="I825:I888">I824+I$41</f>
        <v>11535</v>
      </c>
      <c r="J825" s="13">
        <f t="shared" si="134"/>
        <v>-7.387709728696951</v>
      </c>
      <c r="K825" s="10">
        <f t="shared" si="130"/>
        <v>218.82390189928554</v>
      </c>
      <c r="L825" s="13">
        <f t="shared" si="132"/>
        <v>18.114082751555777</v>
      </c>
      <c r="M825" s="10">
        <f t="shared" si="133"/>
        <v>-3.0109172484442226</v>
      </c>
      <c r="N825" s="10">
        <f t="shared" si="131"/>
        <v>180.12563420278002</v>
      </c>
      <c r="P825" s="13">
        <f aca="true" t="shared" si="136" ref="P825:P888">(D$7-K825)*(1/D$13+1/D$14)+D$16*(D$19*D$21*D$17+D$20*D$22*D$18)*(D$7^4-K825^4)</f>
        <v>10.726373022858827</v>
      </c>
      <c r="Q825" s="13">
        <f aca="true" t="shared" si="137" ref="Q825:Q888">IF(K825=D$8,-J825,0)</f>
        <v>0</v>
      </c>
    </row>
    <row r="826" spans="9:17" ht="12.75">
      <c r="I826" s="2">
        <f t="shared" si="135"/>
        <v>11550</v>
      </c>
      <c r="J826" s="13">
        <f t="shared" si="134"/>
        <v>-7.390448610158838</v>
      </c>
      <c r="K826" s="10">
        <f t="shared" si="130"/>
        <v>218.7087336466821</v>
      </c>
      <c r="L826" s="13">
        <f t="shared" si="132"/>
        <v>18.128037591268875</v>
      </c>
      <c r="M826" s="10">
        <f t="shared" si="133"/>
        <v>-3.1219624087311253</v>
      </c>
      <c r="N826" s="10">
        <f t="shared" si="131"/>
        <v>179.98065333806224</v>
      </c>
      <c r="P826" s="13">
        <f t="shared" si="136"/>
        <v>10.737588981110036</v>
      </c>
      <c r="Q826" s="13">
        <f t="shared" si="137"/>
        <v>0</v>
      </c>
    </row>
    <row r="827" spans="9:17" ht="12.75">
      <c r="I827" s="2">
        <f t="shared" si="135"/>
        <v>11565</v>
      </c>
      <c r="J827" s="13">
        <f t="shared" si="134"/>
        <v>-7.395678260978215</v>
      </c>
      <c r="K827" s="10">
        <f t="shared" si="130"/>
        <v>218.59352269719375</v>
      </c>
      <c r="L827" s="13">
        <f t="shared" si="132"/>
        <v>18.144475303861697</v>
      </c>
      <c r="M827" s="10">
        <f t="shared" si="133"/>
        <v>-3.1055246961383034</v>
      </c>
      <c r="N827" s="10">
        <f t="shared" si="131"/>
        <v>179.83032545712558</v>
      </c>
      <c r="P827" s="13">
        <f t="shared" si="136"/>
        <v>10.748797042883481</v>
      </c>
      <c r="Q827" s="13">
        <f t="shared" si="137"/>
        <v>0</v>
      </c>
    </row>
    <row r="828" spans="9:17" ht="12.75">
      <c r="I828" s="2">
        <f t="shared" si="135"/>
        <v>11580</v>
      </c>
      <c r="J828" s="13">
        <f t="shared" si="134"/>
        <v>-7.400503385248562</v>
      </c>
      <c r="K828" s="10">
        <f t="shared" si="130"/>
        <v>218.478230221797</v>
      </c>
      <c r="L828" s="13">
        <f t="shared" si="132"/>
        <v>18.16050436404194</v>
      </c>
      <c r="M828" s="10">
        <f t="shared" si="133"/>
        <v>-3.089495635958059</v>
      </c>
      <c r="N828" s="10">
        <f t="shared" si="131"/>
        <v>179.68078908043466</v>
      </c>
      <c r="P828" s="13">
        <f t="shared" si="136"/>
        <v>10.760000978793379</v>
      </c>
      <c r="Q828" s="13">
        <f t="shared" si="137"/>
        <v>0</v>
      </c>
    </row>
    <row r="829" spans="9:17" ht="12.75">
      <c r="I829" s="2">
        <f t="shared" si="135"/>
        <v>11595</v>
      </c>
      <c r="J829" s="13">
        <f t="shared" si="134"/>
        <v>-7.404936770177521</v>
      </c>
      <c r="K829" s="10">
        <f t="shared" si="130"/>
        <v>218.36286252672443</v>
      </c>
      <c r="L829" s="13">
        <f t="shared" si="132"/>
        <v>18.176136934323278</v>
      </c>
      <c r="M829" s="10">
        <f t="shared" si="133"/>
        <v>-3.073863065676722</v>
      </c>
      <c r="N829" s="10">
        <f t="shared" si="131"/>
        <v>179.53202453067016</v>
      </c>
      <c r="P829" s="13">
        <f t="shared" si="136"/>
        <v>10.771200164145757</v>
      </c>
      <c r="Q829" s="13">
        <f t="shared" si="137"/>
        <v>0</v>
      </c>
    </row>
    <row r="830" spans="9:17" ht="12.75">
      <c r="I830" s="2">
        <f t="shared" si="135"/>
        <v>11610</v>
      </c>
      <c r="J830" s="13">
        <f t="shared" si="134"/>
        <v>-7.408990813547264</v>
      </c>
      <c r="K830" s="10">
        <f t="shared" si="130"/>
        <v>218.24742571886668</v>
      </c>
      <c r="L830" s="13">
        <f t="shared" si="132"/>
        <v>18.191384809778175</v>
      </c>
      <c r="M830" s="10">
        <f t="shared" si="133"/>
        <v>-3.0586151902218255</v>
      </c>
      <c r="N830" s="10">
        <f t="shared" si="131"/>
        <v>179.38401271615876</v>
      </c>
      <c r="P830" s="13">
        <f t="shared" si="136"/>
        <v>10.78239399623091</v>
      </c>
      <c r="Q830" s="13">
        <f t="shared" si="137"/>
        <v>0</v>
      </c>
    </row>
    <row r="831" spans="9:17" ht="12.75">
      <c r="I831" s="2">
        <f t="shared" si="135"/>
        <v>11625</v>
      </c>
      <c r="J831" s="13">
        <f t="shared" si="134"/>
        <v>-7.412677535532575</v>
      </c>
      <c r="K831" s="10">
        <f t="shared" si="130"/>
        <v>218.13192571184328</v>
      </c>
      <c r="L831" s="13">
        <f t="shared" si="132"/>
        <v>18.206259429161374</v>
      </c>
      <c r="M831" s="10">
        <f t="shared" si="133"/>
        <v>-3.043740570838626</v>
      </c>
      <c r="N831" s="10">
        <f t="shared" si="131"/>
        <v>179.23673511318034</v>
      </c>
      <c r="P831" s="13">
        <f t="shared" si="136"/>
        <v>10.793581893628799</v>
      </c>
      <c r="Q831" s="13">
        <f t="shared" si="137"/>
        <v>0</v>
      </c>
    </row>
    <row r="832" spans="9:17" ht="12.75">
      <c r="I832" s="2">
        <f t="shared" si="135"/>
        <v>11640</v>
      </c>
      <c r="J832" s="13">
        <f t="shared" si="134"/>
        <v>-7.416008590160608</v>
      </c>
      <c r="K832" s="10">
        <f t="shared" si="130"/>
        <v>218.01636823188923</v>
      </c>
      <c r="L832" s="13">
        <f t="shared" si="132"/>
        <v>18.220771885696436</v>
      </c>
      <c r="M832" s="10">
        <f t="shared" si="133"/>
        <v>-3.0292281143035638</v>
      </c>
      <c r="N832" s="10">
        <f t="shared" si="131"/>
        <v>179.09017374881049</v>
      </c>
      <c r="P832" s="13">
        <f t="shared" si="136"/>
        <v>10.804763295535828</v>
      </c>
      <c r="Q832" s="13">
        <f t="shared" si="137"/>
        <v>0</v>
      </c>
    </row>
    <row r="833" spans="9:17" ht="12.75">
      <c r="I833" s="2">
        <f t="shared" si="135"/>
        <v>11655</v>
      </c>
      <c r="J833" s="13">
        <f t="shared" si="134"/>
        <v>-7.418995276423001</v>
      </c>
      <c r="K833" s="10">
        <f t="shared" si="130"/>
        <v>217.90075882356294</v>
      </c>
      <c r="L833" s="13">
        <f t="shared" si="132"/>
        <v>18.234932937535447</v>
      </c>
      <c r="M833" s="10">
        <f t="shared" si="133"/>
        <v>-3.140067062464553</v>
      </c>
      <c r="N833" s="10">
        <f t="shared" si="131"/>
        <v>178.94431118428267</v>
      </c>
      <c r="P833" s="13">
        <f t="shared" si="136"/>
        <v>10.815937661112446</v>
      </c>
      <c r="Q833" s="13">
        <f t="shared" si="137"/>
        <v>0</v>
      </c>
    </row>
    <row r="834" spans="9:17" ht="12.75">
      <c r="I834" s="2">
        <f t="shared" si="135"/>
        <v>11670</v>
      </c>
      <c r="J834" s="13">
        <f t="shared" si="134"/>
        <v>-7.424465937320429</v>
      </c>
      <c r="K834" s="10">
        <f t="shared" si="130"/>
        <v>217.78510285528094</v>
      </c>
      <c r="L834" s="13">
        <f t="shared" si="132"/>
        <v>18.25157040617129</v>
      </c>
      <c r="M834" s="10">
        <f t="shared" si="133"/>
        <v>-3.1234295938287104</v>
      </c>
      <c r="N834" s="10">
        <f t="shared" si="131"/>
        <v>178.7931115330059</v>
      </c>
      <c r="P834" s="13">
        <f t="shared" si="136"/>
        <v>10.82710446885086</v>
      </c>
      <c r="Q834" s="13">
        <f t="shared" si="137"/>
        <v>0</v>
      </c>
    </row>
    <row r="835" spans="9:17" ht="12.75">
      <c r="I835" s="2">
        <f t="shared" si="135"/>
        <v>11685</v>
      </c>
      <c r="J835" s="13">
        <f t="shared" si="134"/>
        <v>-7.429525511676225</v>
      </c>
      <c r="K835" s="10">
        <f t="shared" si="130"/>
        <v>217.6693616039438</v>
      </c>
      <c r="L835" s="13">
        <f t="shared" si="132"/>
        <v>18.26779296140747</v>
      </c>
      <c r="M835" s="10">
        <f t="shared" si="133"/>
        <v>-3.107207038592531</v>
      </c>
      <c r="N835" s="10">
        <f t="shared" si="131"/>
        <v>178.6427130045733</v>
      </c>
      <c r="P835" s="13">
        <f t="shared" si="136"/>
        <v>10.838267449731244</v>
      </c>
      <c r="Q835" s="13">
        <f t="shared" si="137"/>
        <v>0</v>
      </c>
    </row>
    <row r="836" spans="9:17" ht="12.75">
      <c r="I836" s="2">
        <f t="shared" si="135"/>
        <v>11700</v>
      </c>
      <c r="J836" s="13">
        <f t="shared" si="134"/>
        <v>-7.434186981909541</v>
      </c>
      <c r="K836" s="10">
        <f t="shared" si="130"/>
        <v>217.5535414780489</v>
      </c>
      <c r="L836" s="13">
        <f t="shared" si="132"/>
        <v>18.283612954743326</v>
      </c>
      <c r="M836" s="10">
        <f t="shared" si="133"/>
        <v>-3.091387045256674</v>
      </c>
      <c r="N836" s="10">
        <f t="shared" si="131"/>
        <v>178.49309562018817</v>
      </c>
      <c r="P836" s="13">
        <f t="shared" si="136"/>
        <v>10.849425972833785</v>
      </c>
      <c r="Q836" s="13">
        <f t="shared" si="137"/>
        <v>0</v>
      </c>
    </row>
    <row r="837" spans="9:17" ht="12.75">
      <c r="I837" s="2">
        <f t="shared" si="135"/>
        <v>11715</v>
      </c>
      <c r="J837" s="13">
        <f t="shared" si="134"/>
        <v>-7.4384629351483635</v>
      </c>
      <c r="K837" s="10">
        <f t="shared" si="130"/>
        <v>217.4376486837086</v>
      </c>
      <c r="L837" s="13">
        <f t="shared" si="132"/>
        <v>18.29904236455302</v>
      </c>
      <c r="M837" s="10">
        <f t="shared" si="133"/>
        <v>-3.0759576354469793</v>
      </c>
      <c r="N837" s="10">
        <f t="shared" si="131"/>
        <v>178.34423999579988</v>
      </c>
      <c r="P837" s="13">
        <f t="shared" si="136"/>
        <v>10.860579429404657</v>
      </c>
      <c r="Q837" s="13">
        <f t="shared" si="137"/>
        <v>0</v>
      </c>
    </row>
    <row r="838" spans="9:17" ht="12.75">
      <c r="I838" s="2">
        <f t="shared" si="135"/>
        <v>11730</v>
      </c>
      <c r="J838" s="13">
        <f t="shared" si="134"/>
        <v>-7.442365575223883</v>
      </c>
      <c r="K838" s="10">
        <f t="shared" si="130"/>
        <v>217.32168923081227</v>
      </c>
      <c r="L838" s="13">
        <f t="shared" si="132"/>
        <v>18.314092807379822</v>
      </c>
      <c r="M838" s="10">
        <f t="shared" si="133"/>
        <v>-3.060907192620178</v>
      </c>
      <c r="N838" s="10">
        <f t="shared" si="131"/>
        <v>178.1961273241372</v>
      </c>
      <c r="P838" s="13">
        <f t="shared" si="136"/>
        <v>10.871727232155939</v>
      </c>
      <c r="Q838" s="13">
        <f t="shared" si="137"/>
        <v>0</v>
      </c>
    </row>
    <row r="839" spans="9:17" ht="12.75">
      <c r="I839" s="2">
        <f t="shared" si="135"/>
        <v>11745</v>
      </c>
      <c r="J839" s="13">
        <f t="shared" si="134"/>
        <v>-7.4459067343013885</v>
      </c>
      <c r="K839" s="10">
        <f t="shared" si="130"/>
        <v>217.20566893900178</v>
      </c>
      <c r="L839" s="13">
        <f t="shared" si="132"/>
        <v>18.32877554888848</v>
      </c>
      <c r="M839" s="10">
        <f t="shared" si="133"/>
        <v>-3.04622445111152</v>
      </c>
      <c r="N839" s="10">
        <f t="shared" si="131"/>
        <v>178.04873935728548</v>
      </c>
      <c r="P839" s="13">
        <f t="shared" si="136"/>
        <v>10.882868814587091</v>
      </c>
      <c r="Q839" s="13">
        <f t="shared" si="137"/>
        <v>0</v>
      </c>
    </row>
    <row r="840" spans="9:17" ht="12.75">
      <c r="I840" s="2">
        <f t="shared" si="135"/>
        <v>11760</v>
      </c>
      <c r="J840" s="13">
        <f t="shared" si="134"/>
        <v>-7.449097884158316</v>
      </c>
      <c r="K840" s="10">
        <f t="shared" si="130"/>
        <v>217.08959344346536</v>
      </c>
      <c r="L840" s="13">
        <f t="shared" si="132"/>
        <v>18.343101514485703</v>
      </c>
      <c r="M840" s="10">
        <f t="shared" si="133"/>
        <v>-3.156898485514297</v>
      </c>
      <c r="N840" s="10">
        <f t="shared" si="131"/>
        <v>177.90205838979136</v>
      </c>
      <c r="P840" s="13">
        <f t="shared" si="136"/>
        <v>10.894003630327386</v>
      </c>
      <c r="Q840" s="13">
        <f t="shared" si="137"/>
        <v>0</v>
      </c>
    </row>
    <row r="841" spans="9:17" ht="12.75">
      <c r="I841" s="2">
        <f t="shared" si="135"/>
        <v>11775</v>
      </c>
      <c r="J841" s="13">
        <f t="shared" si="134"/>
        <v>-7.454767535389799</v>
      </c>
      <c r="K841" s="10">
        <f t="shared" si="130"/>
        <v>216.97346820055577</v>
      </c>
      <c r="L841" s="13">
        <f t="shared" si="132"/>
        <v>18.35989868788841</v>
      </c>
      <c r="M841" s="10">
        <f t="shared" si="133"/>
        <v>-3.1401013121115895</v>
      </c>
      <c r="N841" s="10">
        <f t="shared" si="131"/>
        <v>177.75004827643053</v>
      </c>
      <c r="P841" s="13">
        <f t="shared" si="136"/>
        <v>10.905131152498612</v>
      </c>
      <c r="Q841" s="13">
        <f t="shared" si="137"/>
        <v>0</v>
      </c>
    </row>
    <row r="842" spans="9:17" ht="12.75">
      <c r="I842" s="2">
        <f t="shared" si="135"/>
        <v>11790</v>
      </c>
      <c r="J842" s="13">
        <f t="shared" si="134"/>
        <v>-7.460020821350472</v>
      </c>
      <c r="K842" s="10">
        <f t="shared" si="130"/>
        <v>216.85725457249717</v>
      </c>
      <c r="L842" s="13">
        <f t="shared" si="132"/>
        <v>18.376275896244824</v>
      </c>
      <c r="M842" s="10">
        <f t="shared" si="133"/>
        <v>-3.123724103755176</v>
      </c>
      <c r="N842" s="10">
        <f t="shared" si="131"/>
        <v>177.59884697597414</v>
      </c>
      <c r="P842" s="13">
        <f t="shared" si="136"/>
        <v>10.916255074894352</v>
      </c>
      <c r="Q842" s="13">
        <f t="shared" si="137"/>
        <v>0</v>
      </c>
    </row>
    <row r="843" spans="9:17" ht="12.75">
      <c r="I843" s="2">
        <f t="shared" si="135"/>
        <v>11805</v>
      </c>
      <c r="J843" s="13">
        <f t="shared" si="134"/>
        <v>-7.464870880806197</v>
      </c>
      <c r="K843" s="10">
        <f t="shared" si="130"/>
        <v>216.74095905007795</v>
      </c>
      <c r="L843" s="13">
        <f t="shared" si="132"/>
        <v>18.392245643433075</v>
      </c>
      <c r="M843" s="10">
        <f t="shared" si="133"/>
        <v>-3.1077543565669252</v>
      </c>
      <c r="N843" s="10">
        <f t="shared" si="131"/>
        <v>177.44843426638002</v>
      </c>
      <c r="P843" s="13">
        <f t="shared" si="136"/>
        <v>10.927374762626878</v>
      </c>
      <c r="Q843" s="13">
        <f t="shared" si="137"/>
        <v>0</v>
      </c>
    </row>
    <row r="844" spans="9:17" ht="12.75">
      <c r="I844" s="2">
        <f t="shared" si="135"/>
        <v>11820</v>
      </c>
      <c r="J844" s="13">
        <f t="shared" si="134"/>
        <v>-7.469330452544716</v>
      </c>
      <c r="K844" s="10">
        <f t="shared" si="130"/>
        <v>216.62458791926412</v>
      </c>
      <c r="L844" s="13">
        <f t="shared" si="132"/>
        <v>18.40782005563075</v>
      </c>
      <c r="M844" s="10">
        <f t="shared" si="133"/>
        <v>-3.0921799443692493</v>
      </c>
      <c r="N844" s="10">
        <f t="shared" si="131"/>
        <v>177.29879052768933</v>
      </c>
      <c r="P844" s="13">
        <f t="shared" si="136"/>
        <v>10.938489603086035</v>
      </c>
      <c r="Q844" s="13">
        <f t="shared" si="137"/>
        <v>0</v>
      </c>
    </row>
    <row r="845" spans="9:17" ht="12.75">
      <c r="I845" s="2">
        <f t="shared" si="135"/>
        <v>11835</v>
      </c>
      <c r="J845" s="13">
        <f t="shared" si="134"/>
        <v>-7.473411887510725</v>
      </c>
      <c r="K845" s="10">
        <f t="shared" si="130"/>
        <v>216.5081472674345</v>
      </c>
      <c r="L845" s="13">
        <f t="shared" si="132"/>
        <v>18.423010892746547</v>
      </c>
      <c r="M845" s="10">
        <f t="shared" si="133"/>
        <v>-3.0769891072534534</v>
      </c>
      <c r="N845" s="10">
        <f t="shared" si="131"/>
        <v>177.14989672383962</v>
      </c>
      <c r="P845" s="13">
        <f t="shared" si="136"/>
        <v>10.949599005235822</v>
      </c>
      <c r="Q845" s="13">
        <f t="shared" si="137"/>
        <v>0</v>
      </c>
    </row>
    <row r="846" spans="9:17" ht="12.75">
      <c r="I846" s="2">
        <f t="shared" si="135"/>
        <v>11850</v>
      </c>
      <c r="J846" s="13">
        <f t="shared" si="134"/>
        <v>-7.477127160573135</v>
      </c>
      <c r="K846" s="10">
        <f t="shared" si="130"/>
        <v>216.39164298942705</v>
      </c>
      <c r="L846" s="13">
        <f t="shared" si="132"/>
        <v>18.437829559505786</v>
      </c>
      <c r="M846" s="10">
        <f t="shared" si="133"/>
        <v>-3.0621704404942136</v>
      </c>
      <c r="N846" s="10">
        <f t="shared" si="131"/>
        <v>177.00173438502833</v>
      </c>
      <c r="P846" s="13">
        <f t="shared" si="136"/>
        <v>10.960702398932652</v>
      </c>
      <c r="Q846" s="13">
        <f t="shared" si="137"/>
        <v>0</v>
      </c>
    </row>
    <row r="847" spans="9:17" ht="12.75">
      <c r="I847" s="2">
        <f t="shared" si="135"/>
        <v>11865</v>
      </c>
      <c r="J847" s="13">
        <f t="shared" si="134"/>
        <v>-7.480487881935549</v>
      </c>
      <c r="K847" s="10">
        <f aca="true" t="shared" si="138" ref="K847:K910">MAX(D$8,K846+J846*I$41/VLOOKUP(K846,E$44:G$251,3,TRUE))</f>
        <v>216.2750807934014</v>
      </c>
      <c r="L847" s="13">
        <f t="shared" si="132"/>
        <v>18.452287116200175</v>
      </c>
      <c r="M847" s="10">
        <f t="shared" si="133"/>
        <v>-3.172712883799825</v>
      </c>
      <c r="N847" s="10">
        <f aca="true" t="shared" si="139" ref="N847:N910">N846+M846*I$41/VLOOKUP(N846,A$44:C$251,3,TRUE)</f>
        <v>176.85428559061012</v>
      </c>
      <c r="P847" s="13">
        <f t="shared" si="136"/>
        <v>10.971799234264626</v>
      </c>
      <c r="Q847" s="13">
        <f t="shared" si="137"/>
        <v>0</v>
      </c>
    </row>
    <row r="848" spans="9:17" ht="12.75">
      <c r="I848" s="2">
        <f t="shared" si="135"/>
        <v>11880</v>
      </c>
      <c r="J848" s="13">
        <f t="shared" si="134"/>
        <v>-7.486322696470054</v>
      </c>
      <c r="K848" s="10">
        <f t="shared" si="138"/>
        <v>216.15846620652377</v>
      </c>
      <c r="L848" s="13">
        <f t="shared" si="132"/>
        <v>18.469211677381278</v>
      </c>
      <c r="M848" s="10">
        <f t="shared" si="133"/>
        <v>-3.155788322618722</v>
      </c>
      <c r="N848" s="10">
        <f t="shared" si="139"/>
        <v>176.70151398666377</v>
      </c>
      <c r="P848" s="13">
        <f t="shared" si="136"/>
        <v>10.982888980911223</v>
      </c>
      <c r="Q848" s="13">
        <f t="shared" si="137"/>
        <v>0</v>
      </c>
    </row>
    <row r="849" spans="9:17" ht="12.75">
      <c r="I849" s="2">
        <f t="shared" si="135"/>
        <v>11895</v>
      </c>
      <c r="J849" s="13">
        <f t="shared" si="134"/>
        <v>-7.491736899649027</v>
      </c>
      <c r="K849" s="10">
        <f t="shared" si="138"/>
        <v>216.04176065973857</v>
      </c>
      <c r="L849" s="13">
        <f t="shared" si="132"/>
        <v>18.48571219710328</v>
      </c>
      <c r="M849" s="10">
        <f t="shared" si="133"/>
        <v>-3.139287802896721</v>
      </c>
      <c r="N849" s="10">
        <f t="shared" si="139"/>
        <v>176.54955732956338</v>
      </c>
      <c r="P849" s="13">
        <f t="shared" si="136"/>
        <v>10.993975297454252</v>
      </c>
      <c r="Q849" s="13">
        <f t="shared" si="137"/>
        <v>0</v>
      </c>
    </row>
    <row r="850" spans="9:17" ht="12.75">
      <c r="I850" s="2">
        <f t="shared" si="135"/>
        <v>11910</v>
      </c>
      <c r="J850" s="13">
        <f t="shared" si="134"/>
        <v>-7.496743755264479</v>
      </c>
      <c r="K850" s="10">
        <f t="shared" si="138"/>
        <v>215.9249707100271</v>
      </c>
      <c r="L850" s="13">
        <f t="shared" si="132"/>
        <v>18.50180130210695</v>
      </c>
      <c r="M850" s="10">
        <f t="shared" si="133"/>
        <v>-3.1231986978930486</v>
      </c>
      <c r="N850" s="10">
        <f t="shared" si="139"/>
        <v>176.39839520098045</v>
      </c>
      <c r="P850" s="13">
        <f t="shared" si="136"/>
        <v>11.005057546842473</v>
      </c>
      <c r="Q850" s="13">
        <f t="shared" si="137"/>
        <v>0</v>
      </c>
    </row>
    <row r="851" spans="9:17" ht="12.75">
      <c r="I851" s="2">
        <f t="shared" si="135"/>
        <v>11925</v>
      </c>
      <c r="J851" s="13">
        <f t="shared" si="134"/>
        <v>-7.501356123393212</v>
      </c>
      <c r="K851" s="10">
        <f t="shared" si="138"/>
        <v>215.80810270759926</v>
      </c>
      <c r="L851" s="13">
        <f t="shared" si="132"/>
        <v>18.517491237750956</v>
      </c>
      <c r="M851" s="10">
        <f t="shared" si="133"/>
        <v>-3.1075087622490436</v>
      </c>
      <c r="N851" s="10">
        <f t="shared" si="139"/>
        <v>176.24800779058586</v>
      </c>
      <c r="P851" s="13">
        <f t="shared" si="136"/>
        <v>11.016135114357745</v>
      </c>
      <c r="Q851" s="13">
        <f t="shared" si="137"/>
        <v>0</v>
      </c>
    </row>
    <row r="852" spans="9:17" ht="12.75">
      <c r="I852" s="2">
        <f t="shared" si="135"/>
        <v>11940</v>
      </c>
      <c r="J852" s="13">
        <f t="shared" si="134"/>
        <v>-7.5055864726437775</v>
      </c>
      <c r="K852" s="10">
        <f t="shared" si="138"/>
        <v>215.69116280218697</v>
      </c>
      <c r="L852" s="13">
        <f t="shared" si="132"/>
        <v>18.5327938795538</v>
      </c>
      <c r="M852" s="10">
        <f t="shared" si="133"/>
        <v>-3.0922061204461997</v>
      </c>
      <c r="N852" s="10">
        <f t="shared" si="139"/>
        <v>176.09837587768567</v>
      </c>
      <c r="P852" s="13">
        <f t="shared" si="136"/>
        <v>11.027207406910023</v>
      </c>
      <c r="Q852" s="13">
        <f t="shared" si="137"/>
        <v>0</v>
      </c>
    </row>
    <row r="853" spans="9:17" ht="12.75">
      <c r="I853" s="2">
        <f t="shared" si="135"/>
        <v>11955</v>
      </c>
      <c r="J853" s="13">
        <f t="shared" si="134"/>
        <v>-7.509446892032212</v>
      </c>
      <c r="K853" s="10">
        <f t="shared" si="138"/>
        <v>215.57415694914692</v>
      </c>
      <c r="L853" s="13">
        <f t="shared" si="132"/>
        <v>18.547720744386265</v>
      </c>
      <c r="M853" s="10">
        <f t="shared" si="133"/>
        <v>-3.2022792556137354</v>
      </c>
      <c r="N853" s="10">
        <f t="shared" si="139"/>
        <v>175.94948081341263</v>
      </c>
      <c r="P853" s="13">
        <f t="shared" si="136"/>
        <v>11.038273852354052</v>
      </c>
      <c r="Q853" s="13">
        <f t="shared" si="137"/>
        <v>0</v>
      </c>
    </row>
    <row r="854" spans="9:17" ht="12.75">
      <c r="I854" s="2">
        <f t="shared" si="135"/>
        <v>11970</v>
      </c>
      <c r="J854" s="13">
        <f t="shared" si="134"/>
        <v>-7.515766490767074</v>
      </c>
      <c r="K854" s="10">
        <f t="shared" si="138"/>
        <v>215.45709091537813</v>
      </c>
      <c r="L854" s="13">
        <f t="shared" si="132"/>
        <v>18.565100389594207</v>
      </c>
      <c r="M854" s="10">
        <f t="shared" si="133"/>
        <v>-3.184899610405793</v>
      </c>
      <c r="N854" s="10">
        <f t="shared" si="139"/>
        <v>175.7952855376087</v>
      </c>
      <c r="P854" s="13">
        <f t="shared" si="136"/>
        <v>11.049333898827133</v>
      </c>
      <c r="Q854" s="13">
        <f t="shared" si="137"/>
        <v>0</v>
      </c>
    </row>
    <row r="855" spans="9:17" ht="12.75">
      <c r="I855" s="2">
        <f t="shared" si="135"/>
        <v>11985</v>
      </c>
      <c r="J855" s="13">
        <f t="shared" si="134"/>
        <v>-7.521651041850953</v>
      </c>
      <c r="K855" s="10">
        <f t="shared" si="138"/>
        <v>215.3399263643191</v>
      </c>
      <c r="L855" s="13">
        <f t="shared" si="132"/>
        <v>18.582042198657586</v>
      </c>
      <c r="M855" s="10">
        <f t="shared" si="133"/>
        <v>-3.167957801342414</v>
      </c>
      <c r="N855" s="10">
        <f t="shared" si="139"/>
        <v>175.64192712173244</v>
      </c>
      <c r="P855" s="13">
        <f t="shared" si="136"/>
        <v>11.060391156806633</v>
      </c>
      <c r="Q855" s="13">
        <f t="shared" si="137"/>
        <v>0</v>
      </c>
    </row>
    <row r="856" spans="9:17" ht="12.75">
      <c r="I856" s="2">
        <f t="shared" si="135"/>
        <v>12000</v>
      </c>
      <c r="J856" s="13">
        <f t="shared" si="134"/>
        <v>-7.527114244634365</v>
      </c>
      <c r="K856" s="10">
        <f t="shared" si="138"/>
        <v>215.22267007800102</v>
      </c>
      <c r="L856" s="13">
        <f t="shared" si="132"/>
        <v>18.59855921457955</v>
      </c>
      <c r="M856" s="10">
        <f t="shared" si="133"/>
        <v>-3.1514407854204514</v>
      </c>
      <c r="N856" s="10">
        <f t="shared" si="139"/>
        <v>175.48938448321744</v>
      </c>
      <c r="P856" s="13">
        <f t="shared" si="136"/>
        <v>11.071444969945183</v>
      </c>
      <c r="Q856" s="13">
        <f t="shared" si="137"/>
        <v>0</v>
      </c>
    </row>
    <row r="857" spans="9:17" ht="12.75">
      <c r="I857" s="2">
        <f t="shared" si="135"/>
        <v>12015</v>
      </c>
      <c r="J857" s="13">
        <f t="shared" si="134"/>
        <v>-7.5321693815933966</v>
      </c>
      <c r="K857" s="10">
        <f t="shared" si="138"/>
        <v>215.10532862489362</v>
      </c>
      <c r="L857" s="13">
        <f t="shared" si="132"/>
        <v>18.614664086420653</v>
      </c>
      <c r="M857" s="10">
        <f t="shared" si="133"/>
        <v>-3.135335913579347</v>
      </c>
      <c r="N857" s="10">
        <f t="shared" si="139"/>
        <v>175.3376371675404</v>
      </c>
      <c r="P857" s="13">
        <f t="shared" si="136"/>
        <v>11.082494704827257</v>
      </c>
      <c r="Q857" s="13">
        <f t="shared" si="137"/>
        <v>0</v>
      </c>
    </row>
    <row r="858" spans="9:17" ht="12.75">
      <c r="I858" s="2">
        <f t="shared" si="135"/>
        <v>12030</v>
      </c>
      <c r="J858" s="13">
        <f t="shared" si="134"/>
        <v>-7.536829330974104</v>
      </c>
      <c r="K858" s="10">
        <f t="shared" si="138"/>
        <v>214.98790836640381</v>
      </c>
      <c r="L858" s="13">
        <f t="shared" si="132"/>
        <v>18.63036908121993</v>
      </c>
      <c r="M858" s="10">
        <f t="shared" si="133"/>
        <v>-3.1196309187800715</v>
      </c>
      <c r="N858" s="10">
        <f t="shared" si="139"/>
        <v>175.18666532925215</v>
      </c>
      <c r="P858" s="13">
        <f t="shared" si="136"/>
        <v>11.093539750245824</v>
      </c>
      <c r="Q858" s="13">
        <f t="shared" si="137"/>
        <v>0</v>
      </c>
    </row>
    <row r="859" spans="9:17" ht="12.75">
      <c r="I859" s="2">
        <f t="shared" si="135"/>
        <v>12045</v>
      </c>
      <c r="J859" s="13">
        <f t="shared" si="134"/>
        <v>-7.541106579053734</v>
      </c>
      <c r="K859" s="10">
        <f t="shared" si="138"/>
        <v>214.87041546317738</v>
      </c>
      <c r="L859" s="13">
        <f t="shared" si="132"/>
        <v>18.645686095554986</v>
      </c>
      <c r="M859" s="10">
        <f t="shared" si="133"/>
        <v>-3.1043139044450143</v>
      </c>
      <c r="N859" s="10">
        <f t="shared" si="139"/>
        <v>175.03644971358264</v>
      </c>
      <c r="P859" s="13">
        <f t="shared" si="136"/>
        <v>11.104579516501252</v>
      </c>
      <c r="Q859" s="13">
        <f t="shared" si="137"/>
        <v>0</v>
      </c>
    </row>
    <row r="860" spans="9:17" ht="12.75">
      <c r="I860" s="2">
        <f t="shared" si="135"/>
        <v>12060</v>
      </c>
      <c r="J860" s="13">
        <f t="shared" si="134"/>
        <v>-7.545013232030401</v>
      </c>
      <c r="K860" s="10">
        <f t="shared" si="138"/>
        <v>214.75285588120946</v>
      </c>
      <c r="L860" s="13">
        <f t="shared" si="132"/>
        <v>18.660626666752172</v>
      </c>
      <c r="M860" s="10">
        <f t="shared" si="133"/>
        <v>-3.2143733332478277</v>
      </c>
      <c r="N860" s="10">
        <f t="shared" si="139"/>
        <v>174.88697163860255</v>
      </c>
      <c r="P860" s="13">
        <f t="shared" si="136"/>
        <v>11.115613434721771</v>
      </c>
      <c r="Q860" s="13">
        <f t="shared" si="137"/>
        <v>0</v>
      </c>
    </row>
    <row r="861" spans="9:17" ht="12.75">
      <c r="I861" s="2">
        <f t="shared" si="135"/>
        <v>12075</v>
      </c>
      <c r="J861" s="13">
        <f t="shared" si="134"/>
        <v>-7.55137841582153</v>
      </c>
      <c r="K861" s="10">
        <f t="shared" si="138"/>
        <v>214.63523539776958</v>
      </c>
      <c r="L861" s="13">
        <f t="shared" si="132"/>
        <v>18.678019372026473</v>
      </c>
      <c r="M861" s="10">
        <f t="shared" si="133"/>
        <v>-3.1969806279735273</v>
      </c>
      <c r="N861" s="10">
        <f t="shared" si="139"/>
        <v>174.73219401207666</v>
      </c>
      <c r="P861" s="13">
        <f t="shared" si="136"/>
        <v>11.126640956204943</v>
      </c>
      <c r="Q861" s="13">
        <f t="shared" si="137"/>
        <v>0</v>
      </c>
    </row>
    <row r="862" spans="9:17" ht="12.75">
      <c r="I862" s="2">
        <f t="shared" si="135"/>
        <v>12090</v>
      </c>
      <c r="J862" s="13">
        <f t="shared" si="134"/>
        <v>-7.557307951364107</v>
      </c>
      <c r="K862" s="10">
        <f t="shared" si="138"/>
        <v>214.51751568640634</v>
      </c>
      <c r="L862" s="13">
        <f t="shared" si="132"/>
        <v>18.694973614157213</v>
      </c>
      <c r="M862" s="10">
        <f t="shared" si="133"/>
        <v>-3.180026385842787</v>
      </c>
      <c r="N862" s="10">
        <f t="shared" si="139"/>
        <v>174.5782538743432</v>
      </c>
      <c r="P862" s="13">
        <f t="shared" si="136"/>
        <v>11.137665662793106</v>
      </c>
      <c r="Q862" s="13">
        <f t="shared" si="137"/>
        <v>0</v>
      </c>
    </row>
    <row r="863" spans="9:17" ht="12.75">
      <c r="I863" s="2">
        <f t="shared" si="135"/>
        <v>12105</v>
      </c>
      <c r="J863" s="13">
        <f t="shared" si="134"/>
        <v>-7.562815552501409</v>
      </c>
      <c r="K863" s="10">
        <f t="shared" si="138"/>
        <v>214.39970353851376</v>
      </c>
      <c r="L863" s="13">
        <f t="shared" si="132"/>
        <v>18.71150245466213</v>
      </c>
      <c r="M863" s="10">
        <f t="shared" si="133"/>
        <v>-3.1634975453378686</v>
      </c>
      <c r="N863" s="10">
        <f t="shared" si="139"/>
        <v>174.42513011264467</v>
      </c>
      <c r="P863" s="13">
        <f t="shared" si="136"/>
        <v>11.148686902160723</v>
      </c>
      <c r="Q863" s="13">
        <f t="shared" si="137"/>
        <v>0</v>
      </c>
    </row>
    <row r="864" spans="9:17" ht="12.75">
      <c r="I864" s="2">
        <f t="shared" si="135"/>
        <v>12120</v>
      </c>
      <c r="J864" s="13">
        <f t="shared" si="134"/>
        <v>-7.56791451581584</v>
      </c>
      <c r="K864" s="10">
        <f t="shared" si="138"/>
        <v>214.2818055316984</v>
      </c>
      <c r="L864" s="13">
        <f t="shared" si="132"/>
        <v>18.727618560593307</v>
      </c>
      <c r="M864" s="10">
        <f t="shared" si="133"/>
        <v>-3.1473814394066935</v>
      </c>
      <c r="N864" s="10">
        <f t="shared" si="139"/>
        <v>174.27280224315817</v>
      </c>
      <c r="P864" s="13">
        <f t="shared" si="136"/>
        <v>11.159704044777467</v>
      </c>
      <c r="Q864" s="13">
        <f t="shared" si="137"/>
        <v>0</v>
      </c>
    </row>
    <row r="865" spans="9:17" ht="12.75">
      <c r="I865" s="2">
        <f t="shared" si="135"/>
        <v>12135</v>
      </c>
      <c r="J865" s="13">
        <f t="shared" si="134"/>
        <v>-7.572617733283696</v>
      </c>
      <c r="K865" s="10">
        <f t="shared" si="138"/>
        <v>214.1638280362842</v>
      </c>
      <c r="L865" s="13">
        <f t="shared" si="132"/>
        <v>18.743334216472842</v>
      </c>
      <c r="M865" s="10">
        <f t="shared" si="133"/>
        <v>-3.1316657835271577</v>
      </c>
      <c r="N865" s="10">
        <f t="shared" si="139"/>
        <v>174.12125039200131</v>
      </c>
      <c r="P865" s="13">
        <f t="shared" si="136"/>
        <v>11.170716483189146</v>
      </c>
      <c r="Q865" s="13">
        <f t="shared" si="137"/>
        <v>0</v>
      </c>
    </row>
    <row r="866" spans="9:17" ht="12.75">
      <c r="I866" s="2">
        <f t="shared" si="135"/>
        <v>12150</v>
      </c>
      <c r="J866" s="13">
        <f t="shared" si="134"/>
        <v>-7.576937704546493</v>
      </c>
      <c r="K866" s="10">
        <f t="shared" si="138"/>
        <v>214.0457772216199</v>
      </c>
      <c r="L866" s="13">
        <f t="shared" si="132"/>
        <v>18.75866133586724</v>
      </c>
      <c r="M866" s="10">
        <f t="shared" si="133"/>
        <v>-3.2413386641327584</v>
      </c>
      <c r="N866" s="10">
        <f t="shared" si="139"/>
        <v>173.9704552768126</v>
      </c>
      <c r="P866" s="13">
        <f t="shared" si="136"/>
        <v>11.181723631320748</v>
      </c>
      <c r="Q866" s="13">
        <f t="shared" si="137"/>
        <v>0</v>
      </c>
    </row>
    <row r="867" spans="9:17" ht="12.75">
      <c r="I867" s="2">
        <f t="shared" si="135"/>
        <v>12165</v>
      </c>
      <c r="J867" s="13">
        <f t="shared" si="134"/>
        <v>-7.583703937079591</v>
      </c>
      <c r="K867" s="10">
        <f t="shared" si="138"/>
        <v>213.92765906219518</v>
      </c>
      <c r="L867" s="13">
        <f t="shared" si="132"/>
        <v>18.77642886088054</v>
      </c>
      <c r="M867" s="10">
        <f t="shared" si="133"/>
        <v>-3.2235711391194606</v>
      </c>
      <c r="N867" s="10">
        <f t="shared" si="139"/>
        <v>173.8143792230413</v>
      </c>
      <c r="P867" s="13">
        <f t="shared" si="136"/>
        <v>11.192724923800949</v>
      </c>
      <c r="Q867" s="13">
        <f t="shared" si="137"/>
        <v>0</v>
      </c>
    </row>
    <row r="868" spans="9:17" ht="12.75">
      <c r="I868" s="2">
        <f t="shared" si="135"/>
        <v>12180</v>
      </c>
      <c r="J868" s="13">
        <f t="shared" si="134"/>
        <v>-7.590022648938254</v>
      </c>
      <c r="K868" s="10">
        <f t="shared" si="138"/>
        <v>213.80943542283063</v>
      </c>
      <c r="L868" s="13">
        <f t="shared" si="132"/>
        <v>18.793746548172606</v>
      </c>
      <c r="M868" s="10">
        <f t="shared" si="133"/>
        <v>-3.2062534518273935</v>
      </c>
      <c r="N868" s="10">
        <f t="shared" si="139"/>
        <v>173.65915870628007</v>
      </c>
      <c r="P868" s="13">
        <f t="shared" si="136"/>
        <v>11.203723899234353</v>
      </c>
      <c r="Q868" s="13">
        <f t="shared" si="137"/>
        <v>0</v>
      </c>
    </row>
    <row r="869" spans="9:17" ht="12.75">
      <c r="I869" s="2">
        <f t="shared" si="135"/>
        <v>12195</v>
      </c>
      <c r="J869" s="13">
        <f t="shared" si="134"/>
        <v>-7.5959079117035735</v>
      </c>
      <c r="K869" s="10">
        <f t="shared" si="138"/>
        <v>213.69111328000153</v>
      </c>
      <c r="L869" s="13">
        <f t="shared" si="132"/>
        <v>18.810627802267756</v>
      </c>
      <c r="M869" s="10">
        <f t="shared" si="133"/>
        <v>-3.1893721977322436</v>
      </c>
      <c r="N869" s="10">
        <f t="shared" si="139"/>
        <v>173.50477206606587</v>
      </c>
      <c r="P869" s="13">
        <f t="shared" si="136"/>
        <v>11.214719890564183</v>
      </c>
      <c r="Q869" s="13">
        <f t="shared" si="137"/>
        <v>0</v>
      </c>
    </row>
    <row r="870" spans="9:17" ht="12.75">
      <c r="I870" s="2">
        <f t="shared" si="135"/>
        <v>12210</v>
      </c>
      <c r="J870" s="13">
        <f t="shared" si="134"/>
        <v>-7.6013733688976135</v>
      </c>
      <c r="K870" s="10">
        <f t="shared" si="138"/>
        <v>213.57269939081885</v>
      </c>
      <c r="L870" s="13">
        <f t="shared" si="132"/>
        <v>18.827085622883168</v>
      </c>
      <c r="M870" s="10">
        <f t="shared" si="133"/>
        <v>-3.1729143771168324</v>
      </c>
      <c r="N870" s="10">
        <f t="shared" si="139"/>
        <v>173.35119828738664</v>
      </c>
      <c r="P870" s="13">
        <f t="shared" si="136"/>
        <v>11.225712253985554</v>
      </c>
      <c r="Q870" s="13">
        <f t="shared" si="137"/>
        <v>0</v>
      </c>
    </row>
    <row r="871" spans="9:17" ht="12.75">
      <c r="I871" s="2">
        <f t="shared" si="135"/>
        <v>12225</v>
      </c>
      <c r="J871" s="13">
        <f t="shared" si="134"/>
        <v>-7.606432248964044</v>
      </c>
      <c r="K871" s="10">
        <f t="shared" si="138"/>
        <v>213.45420029970245</v>
      </c>
      <c r="L871" s="13">
        <f t="shared" si="132"/>
        <v>18.843132617176437</v>
      </c>
      <c r="M871" s="10">
        <f t="shared" si="133"/>
        <v>-3.156867382823563</v>
      </c>
      <c r="N871" s="10">
        <f t="shared" si="139"/>
        <v>173.19841698118915</v>
      </c>
      <c r="P871" s="13">
        <f t="shared" si="136"/>
        <v>11.236700368212393</v>
      </c>
      <c r="Q871" s="13">
        <f t="shared" si="137"/>
        <v>0</v>
      </c>
    </row>
    <row r="872" spans="9:17" ht="12.75">
      <c r="I872" s="2">
        <f t="shared" si="135"/>
        <v>12240</v>
      </c>
      <c r="J872" s="13">
        <f t="shared" si="134"/>
        <v>-7.611097377855447</v>
      </c>
      <c r="K872" s="10">
        <f t="shared" si="138"/>
        <v>213.3356223448517</v>
      </c>
      <c r="L872" s="13">
        <f t="shared" si="132"/>
        <v>18.858781011622398</v>
      </c>
      <c r="M872" s="10">
        <f t="shared" si="133"/>
        <v>-3.1412189883776023</v>
      </c>
      <c r="N872" s="10">
        <f t="shared" si="139"/>
        <v>173.0464083654766</v>
      </c>
      <c r="P872" s="13">
        <f t="shared" si="136"/>
        <v>11.24768363376695</v>
      </c>
      <c r="Q872" s="13">
        <f t="shared" si="137"/>
        <v>0</v>
      </c>
    </row>
    <row r="873" spans="9:17" ht="12.75">
      <c r="I873" s="2">
        <f t="shared" si="135"/>
        <v>12255</v>
      </c>
      <c r="J873" s="13">
        <f t="shared" si="134"/>
        <v>-7.615381191239235</v>
      </c>
      <c r="K873" s="10">
        <f t="shared" si="138"/>
        <v>213.21697166452012</v>
      </c>
      <c r="L873" s="13">
        <f t="shared" si="132"/>
        <v>18.874042663530354</v>
      </c>
      <c r="M873" s="10">
        <f t="shared" si="133"/>
        <v>-3.175957336469647</v>
      </c>
      <c r="N873" s="10">
        <f t="shared" si="139"/>
        <v>172.895153246978</v>
      </c>
      <c r="P873" s="13">
        <f t="shared" si="136"/>
        <v>11.258661472291118</v>
      </c>
      <c r="Q873" s="13">
        <f t="shared" si="137"/>
        <v>0</v>
      </c>
    </row>
    <row r="874" spans="9:17" ht="12.75">
      <c r="I874" s="2">
        <f t="shared" si="135"/>
        <v>12270</v>
      </c>
      <c r="J874" s="13">
        <f t="shared" si="134"/>
        <v>-7.6204227016413455</v>
      </c>
      <c r="K874" s="10">
        <f t="shared" si="138"/>
        <v>213.09825420309937</v>
      </c>
      <c r="L874" s="13">
        <f t="shared" si="132"/>
        <v>18.890056027520373</v>
      </c>
      <c r="M874" s="10">
        <f t="shared" si="133"/>
        <v>-3.1599439724796277</v>
      </c>
      <c r="N874" s="10">
        <f t="shared" si="139"/>
        <v>172.74222541703313</v>
      </c>
      <c r="P874" s="13">
        <f t="shared" si="136"/>
        <v>11.269633325879028</v>
      </c>
      <c r="Q874" s="13">
        <f t="shared" si="137"/>
        <v>0</v>
      </c>
    </row>
    <row r="875" spans="9:17" ht="12.75">
      <c r="I875" s="2">
        <f t="shared" si="135"/>
        <v>12285</v>
      </c>
      <c r="J875" s="13">
        <f t="shared" si="134"/>
        <v>-7.625071399015663</v>
      </c>
      <c r="K875" s="10">
        <f t="shared" si="138"/>
        <v>212.97945814872293</v>
      </c>
      <c r="L875" s="13">
        <f t="shared" si="132"/>
        <v>18.905671676407493</v>
      </c>
      <c r="M875" s="10">
        <f t="shared" si="133"/>
        <v>-3.1443283235925072</v>
      </c>
      <c r="N875" s="10">
        <f t="shared" si="139"/>
        <v>172.590068658216</v>
      </c>
      <c r="P875" s="13">
        <f t="shared" si="136"/>
        <v>11.28060027739183</v>
      </c>
      <c r="Q875" s="13">
        <f t="shared" si="137"/>
        <v>0</v>
      </c>
    </row>
    <row r="876" spans="9:17" ht="12.75">
      <c r="I876" s="2">
        <f t="shared" si="135"/>
        <v>12300</v>
      </c>
      <c r="J876" s="13">
        <f t="shared" si="134"/>
        <v>-7.629339688837661</v>
      </c>
      <c r="K876" s="10">
        <f t="shared" si="138"/>
        <v>212.8605896250193</v>
      </c>
      <c r="L876" s="13">
        <f aca="true" t="shared" si="140" ref="L876:L939">(K876-N876)/D$12</f>
        <v>18.920901440713944</v>
      </c>
      <c r="M876" s="10">
        <f t="shared" si="133"/>
        <v>-3.1290985592860565</v>
      </c>
      <c r="N876" s="10">
        <f t="shared" si="139"/>
        <v>172.43866381985768</v>
      </c>
      <c r="P876" s="13">
        <f t="shared" si="136"/>
        <v>11.291561751876284</v>
      </c>
      <c r="Q876" s="13">
        <f t="shared" si="137"/>
        <v>0</v>
      </c>
    </row>
    <row r="877" spans="9:17" ht="12.75">
      <c r="I877" s="2">
        <f t="shared" si="135"/>
        <v>12315</v>
      </c>
      <c r="J877" s="13">
        <f t="shared" si="134"/>
        <v>-7.633239599070329</v>
      </c>
      <c r="K877" s="10">
        <f t="shared" si="138"/>
        <v>212.74165456222593</v>
      </c>
      <c r="L877" s="13">
        <f t="shared" si="140"/>
        <v>18.935756793789096</v>
      </c>
      <c r="M877" s="10">
        <f t="shared" si="133"/>
        <v>-3.1142432062109044</v>
      </c>
      <c r="N877" s="10">
        <f t="shared" si="139"/>
        <v>172.28799232094923</v>
      </c>
      <c r="P877" s="13">
        <f t="shared" si="136"/>
        <v>11.302517194718767</v>
      </c>
      <c r="Q877" s="13">
        <f t="shared" si="137"/>
        <v>0</v>
      </c>
    </row>
    <row r="878" spans="9:17" ht="12.75">
      <c r="I878" s="2">
        <f t="shared" si="135"/>
        <v>12330</v>
      </c>
      <c r="J878" s="13">
        <f t="shared" si="134"/>
        <v>-7.6367827916126085</v>
      </c>
      <c r="K878" s="10">
        <f t="shared" si="138"/>
        <v>212.6226587030744</v>
      </c>
      <c r="L878" s="13">
        <f t="shared" si="140"/>
        <v>18.950248862614536</v>
      </c>
      <c r="M878" s="10">
        <f aca="true" t="shared" si="141" ref="M878:M941">L878-VLOOKUP(N878,A$44:C$251,2,TRUE)</f>
        <v>-3.0997511373854643</v>
      </c>
      <c r="N878" s="10">
        <f t="shared" si="139"/>
        <v>172.13803613294334</v>
      </c>
      <c r="P878" s="13">
        <f t="shared" si="136"/>
        <v>11.313466071001928</v>
      </c>
      <c r="Q878" s="13">
        <f t="shared" si="137"/>
        <v>0</v>
      </c>
    </row>
    <row r="879" spans="9:17" ht="12.75">
      <c r="I879" s="2">
        <f t="shared" si="135"/>
        <v>12345</v>
      </c>
      <c r="J879" s="13">
        <f t="shared" si="134"/>
        <v>-7.639980573400885</v>
      </c>
      <c r="K879" s="10">
        <f t="shared" si="138"/>
        <v>212.5036076084969</v>
      </c>
      <c r="L879" s="13">
        <f t="shared" si="140"/>
        <v>18.9643884382821</v>
      </c>
      <c r="M879" s="10">
        <f t="shared" si="141"/>
        <v>-3.1356115617179015</v>
      </c>
      <c r="N879" s="10">
        <f t="shared" si="139"/>
        <v>171.98877776307606</v>
      </c>
      <c r="P879" s="13">
        <f t="shared" si="136"/>
        <v>11.324407864881215</v>
      </c>
      <c r="Q879" s="13">
        <f t="shared" si="137"/>
        <v>0</v>
      </c>
    </row>
    <row r="880" spans="9:17" ht="12.75">
      <c r="I880" s="2">
        <f t="shared" si="135"/>
        <v>12360</v>
      </c>
      <c r="J880" s="13">
        <f t="shared" si="134"/>
        <v>-7.6439708624817335</v>
      </c>
      <c r="K880" s="10">
        <f t="shared" si="138"/>
        <v>212.38450666315995</v>
      </c>
      <c r="L880" s="13">
        <f t="shared" si="140"/>
        <v>18.979312941462382</v>
      </c>
      <c r="M880" s="10">
        <f t="shared" si="141"/>
        <v>-3.1206870585376194</v>
      </c>
      <c r="N880" s="10">
        <f t="shared" si="139"/>
        <v>171.83779265185396</v>
      </c>
      <c r="P880" s="13">
        <f t="shared" si="136"/>
        <v>11.335342078980648</v>
      </c>
      <c r="Q880" s="13">
        <f t="shared" si="137"/>
        <v>0</v>
      </c>
    </row>
    <row r="881" spans="9:17" ht="12.75">
      <c r="I881" s="2">
        <f t="shared" si="135"/>
        <v>12375</v>
      </c>
      <c r="J881" s="13">
        <f t="shared" si="134"/>
        <v>-7.647602098313138</v>
      </c>
      <c r="K881" s="10">
        <f t="shared" si="138"/>
        <v>212.26534351253372</v>
      </c>
      <c r="L881" s="13">
        <f t="shared" si="140"/>
        <v>18.993871942311728</v>
      </c>
      <c r="M881" s="10">
        <f t="shared" si="141"/>
        <v>-3.1061280576882737</v>
      </c>
      <c r="N881" s="10">
        <f t="shared" si="139"/>
        <v>171.6875261812314</v>
      </c>
      <c r="P881" s="13">
        <f t="shared" si="136"/>
        <v>11.34626984399859</v>
      </c>
      <c r="Q881" s="13">
        <f t="shared" si="137"/>
        <v>0</v>
      </c>
    </row>
    <row r="882" spans="9:17" ht="12.75">
      <c r="I882" s="2">
        <f t="shared" si="135"/>
        <v>12390</v>
      </c>
      <c r="J882" s="13">
        <f t="shared" si="134"/>
        <v>-7.650885656859456</v>
      </c>
      <c r="K882" s="10">
        <f t="shared" si="138"/>
        <v>212.14612375395984</v>
      </c>
      <c r="L882" s="13">
        <f t="shared" si="140"/>
        <v>19.008076298958244</v>
      </c>
      <c r="M882" s="10">
        <f t="shared" si="141"/>
        <v>-3.0919237010417575</v>
      </c>
      <c r="N882" s="10">
        <f t="shared" si="139"/>
        <v>171.53796075163996</v>
      </c>
      <c r="P882" s="13">
        <f t="shared" si="136"/>
        <v>11.357190642098788</v>
      </c>
      <c r="Q882" s="13">
        <f t="shared" si="137"/>
        <v>0</v>
      </c>
    </row>
    <row r="883" spans="9:17" ht="12.75">
      <c r="I883" s="2">
        <f t="shared" si="135"/>
        <v>12405</v>
      </c>
      <c r="J883" s="13">
        <f t="shared" si="134"/>
        <v>-7.6538325678173695</v>
      </c>
      <c r="K883" s="10">
        <f t="shared" si="138"/>
        <v>212.02685280743813</v>
      </c>
      <c r="L883" s="13">
        <f t="shared" si="140"/>
        <v>19.021936541786435</v>
      </c>
      <c r="M883" s="10">
        <f t="shared" si="141"/>
        <v>-3.078063458213567</v>
      </c>
      <c r="N883" s="10">
        <f t="shared" si="139"/>
        <v>171.38907928634893</v>
      </c>
      <c r="P883" s="13">
        <f t="shared" si="136"/>
        <v>11.368103973969065</v>
      </c>
      <c r="Q883" s="13">
        <f t="shared" si="137"/>
        <v>0</v>
      </c>
    </row>
    <row r="884" spans="9:17" ht="12.75">
      <c r="I884" s="2">
        <f t="shared" si="135"/>
        <v>12420</v>
      </c>
      <c r="J884" s="13">
        <f t="shared" si="134"/>
        <v>-7.656453525116937</v>
      </c>
      <c r="K884" s="10">
        <f t="shared" si="138"/>
        <v>211.90753592102462</v>
      </c>
      <c r="L884" s="13">
        <f t="shared" si="140"/>
        <v>19.035462883351055</v>
      </c>
      <c r="M884" s="10">
        <f t="shared" si="141"/>
        <v>-3.064537116648946</v>
      </c>
      <c r="N884" s="10">
        <f t="shared" si="139"/>
        <v>171.24086521568373</v>
      </c>
      <c r="P884" s="13">
        <f t="shared" si="136"/>
        <v>11.379009358234118</v>
      </c>
      <c r="Q884" s="13">
        <f t="shared" si="137"/>
        <v>0</v>
      </c>
    </row>
    <row r="885" spans="9:17" ht="12.75">
      <c r="I885" s="2">
        <f t="shared" si="135"/>
        <v>12435</v>
      </c>
      <c r="J885" s="13">
        <f t="shared" si="134"/>
        <v>-7.658758897104283</v>
      </c>
      <c r="K885" s="10">
        <f t="shared" si="138"/>
        <v>211.78817817606586</v>
      </c>
      <c r="L885" s="13">
        <f t="shared" si="140"/>
        <v>19.048665227990767</v>
      </c>
      <c r="M885" s="10">
        <f t="shared" si="141"/>
        <v>-3.051334772009234</v>
      </c>
      <c r="N885" s="10">
        <f t="shared" si="139"/>
        <v>171.09330246172195</v>
      </c>
      <c r="P885" s="13">
        <f t="shared" si="136"/>
        <v>11.389906330886484</v>
      </c>
      <c r="Q885" s="13">
        <f t="shared" si="137"/>
        <v>0</v>
      </c>
    </row>
    <row r="886" spans="9:17" ht="12.75">
      <c r="I886" s="2">
        <f t="shared" si="135"/>
        <v>12450</v>
      </c>
      <c r="J886" s="13">
        <f t="shared" si="134"/>
        <v>-7.660758736415701</v>
      </c>
      <c r="K886" s="10">
        <f t="shared" si="138"/>
        <v>211.66878449227445</v>
      </c>
      <c r="L886" s="13">
        <f t="shared" si="140"/>
        <v>19.06155318115086</v>
      </c>
      <c r="M886" s="10">
        <f t="shared" si="141"/>
        <v>-3.088446818849139</v>
      </c>
      <c r="N886" s="10">
        <f t="shared" si="139"/>
        <v>170.94637542345217</v>
      </c>
      <c r="P886" s="13">
        <f t="shared" si="136"/>
        <v>11.400794444735158</v>
      </c>
      <c r="Q886" s="13">
        <f t="shared" si="137"/>
        <v>0</v>
      </c>
    </row>
    <row r="887" spans="9:17" ht="12.75">
      <c r="I887" s="2">
        <f t="shared" si="135"/>
        <v>12465</v>
      </c>
      <c r="J887" s="13">
        <f t="shared" si="134"/>
        <v>-7.6635897448603</v>
      </c>
      <c r="K887" s="10">
        <f t="shared" si="138"/>
        <v>211.54935963265083</v>
      </c>
      <c r="L887" s="13">
        <f t="shared" si="140"/>
        <v>19.07526301373155</v>
      </c>
      <c r="M887" s="10">
        <f t="shared" si="141"/>
        <v>-3.074736986268448</v>
      </c>
      <c r="N887" s="10">
        <f t="shared" si="139"/>
        <v>170.79766137604253</v>
      </c>
      <c r="P887" s="13">
        <f t="shared" si="136"/>
        <v>11.411673268871251</v>
      </c>
      <c r="Q887" s="13">
        <f t="shared" si="137"/>
        <v>0</v>
      </c>
    </row>
    <row r="888" spans="9:17" ht="12.75">
      <c r="I888" s="2">
        <f t="shared" si="135"/>
        <v>12480</v>
      </c>
      <c r="J888" s="13">
        <f aca="true" t="shared" si="142" ref="J888:J951">(D$7-K888)*(1/D$13+1/D$14)+D$16*(D$19*D$21*D$17+D$20*D$22*D$18)*(D$7^4-K888^4)-(K888-N888)/D$12</f>
        <v>-7.666099195075734</v>
      </c>
      <c r="K888" s="10">
        <f t="shared" si="138"/>
        <v>211.42989063995924</v>
      </c>
      <c r="L888" s="13">
        <f t="shared" si="140"/>
        <v>19.088643180908527</v>
      </c>
      <c r="M888" s="10">
        <f t="shared" si="141"/>
        <v>-3.061356819091472</v>
      </c>
      <c r="N888" s="10">
        <f t="shared" si="139"/>
        <v>170.64960748074557</v>
      </c>
      <c r="P888" s="13">
        <f t="shared" si="136"/>
        <v>11.422543985832792</v>
      </c>
      <c r="Q888" s="13">
        <f t="shared" si="137"/>
        <v>0</v>
      </c>
    </row>
    <row r="889" spans="9:17" ht="12.75">
      <c r="I889" s="2">
        <f aca="true" t="shared" si="143" ref="I889:I952">I888+I$41</f>
        <v>12495</v>
      </c>
      <c r="J889" s="13">
        <f t="shared" si="142"/>
        <v>-7.668297318957379</v>
      </c>
      <c r="K889" s="10">
        <f t="shared" si="138"/>
        <v>211.31038252702513</v>
      </c>
      <c r="L889" s="13">
        <f t="shared" si="140"/>
        <v>19.101703459474248</v>
      </c>
      <c r="M889" s="10">
        <f t="shared" si="141"/>
        <v>-3.048296540525751</v>
      </c>
      <c r="N889" s="10">
        <f t="shared" si="139"/>
        <v>170.50219786360287</v>
      </c>
      <c r="P889" s="13">
        <f aca="true" t="shared" si="144" ref="P889:P952">(D$7-K889)*(1/D$13+1/D$14)+D$16*(D$19*D$21*D$17+D$20*D$22*D$18)*(D$7^4-K889^4)</f>
        <v>11.433406140516869</v>
      </c>
      <c r="Q889" s="13">
        <f aca="true" t="shared" si="145" ref="Q889:Q952">IF(K889=D$8,-J889,0)</f>
        <v>0</v>
      </c>
    </row>
    <row r="890" spans="9:17" ht="12.75">
      <c r="I890" s="2">
        <f t="shared" si="143"/>
        <v>12510</v>
      </c>
      <c r="J890" s="13">
        <f t="shared" si="142"/>
        <v>-7.670194036855236</v>
      </c>
      <c r="K890" s="10">
        <f t="shared" si="138"/>
        <v>211.1908401471672</v>
      </c>
      <c r="L890" s="13">
        <f t="shared" si="140"/>
        <v>19.114453331198284</v>
      </c>
      <c r="M890" s="10">
        <f t="shared" si="141"/>
        <v>-3.0355466688017145</v>
      </c>
      <c r="N890" s="10">
        <f t="shared" si="139"/>
        <v>170.3554171214254</v>
      </c>
      <c r="P890" s="13">
        <f t="shared" si="144"/>
        <v>11.444259294343048</v>
      </c>
      <c r="Q890" s="13">
        <f t="shared" si="145"/>
        <v>0</v>
      </c>
    </row>
    <row r="891" spans="9:17" ht="12.75">
      <c r="I891" s="2">
        <f t="shared" si="143"/>
        <v>12525</v>
      </c>
      <c r="J891" s="13">
        <f t="shared" si="142"/>
        <v>-7.671798967021957</v>
      </c>
      <c r="K891" s="10">
        <f t="shared" si="138"/>
        <v>211.07126819905415</v>
      </c>
      <c r="L891" s="13">
        <f t="shared" si="140"/>
        <v>19.12690199175024</v>
      </c>
      <c r="M891" s="10">
        <f t="shared" si="141"/>
        <v>-3.0230980082497574</v>
      </c>
      <c r="N891" s="10">
        <f t="shared" si="139"/>
        <v>170.20925030758772</v>
      </c>
      <c r="P891" s="13">
        <f t="shared" si="144"/>
        <v>11.455103024728285</v>
      </c>
      <c r="Q891" s="13">
        <f t="shared" si="145"/>
        <v>0</v>
      </c>
    </row>
    <row r="892" spans="9:17" ht="12.75">
      <c r="I892" s="2">
        <f t="shared" si="143"/>
        <v>12540</v>
      </c>
      <c r="J892" s="13">
        <f t="shared" si="142"/>
        <v>-7.6731214347745205</v>
      </c>
      <c r="K892" s="10">
        <f t="shared" si="138"/>
        <v>210.9516712314141</v>
      </c>
      <c r="L892" s="13">
        <f t="shared" si="140"/>
        <v>19.139058359352585</v>
      </c>
      <c r="M892" s="10">
        <f t="shared" si="141"/>
        <v>-3.010941640647413</v>
      </c>
      <c r="N892" s="10">
        <f t="shared" si="139"/>
        <v>170.06368291825177</v>
      </c>
      <c r="P892" s="13">
        <f t="shared" si="144"/>
        <v>11.465936924578065</v>
      </c>
      <c r="Q892" s="13">
        <f t="shared" si="145"/>
        <v>0</v>
      </c>
    </row>
    <row r="893" spans="9:17" ht="12.75">
      <c r="I893" s="2">
        <f t="shared" si="143"/>
        <v>12555</v>
      </c>
      <c r="J893" s="13">
        <f t="shared" si="142"/>
        <v>-7.67417048137826</v>
      </c>
      <c r="K893" s="10">
        <f t="shared" si="138"/>
        <v>210.8320536476013</v>
      </c>
      <c r="L893" s="13">
        <f t="shared" si="140"/>
        <v>19.15093108317166</v>
      </c>
      <c r="M893" s="10">
        <f t="shared" si="141"/>
        <v>-3.0490689168283396</v>
      </c>
      <c r="N893" s="10">
        <f t="shared" si="139"/>
        <v>169.9187008790073</v>
      </c>
      <c r="P893" s="13">
        <f t="shared" si="144"/>
        <v>11.4767606017934</v>
      </c>
      <c r="Q893" s="13">
        <f t="shared" si="145"/>
        <v>0</v>
      </c>
    </row>
    <row r="894" spans="9:17" ht="12.75">
      <c r="I894" s="2">
        <f t="shared" si="143"/>
        <v>12570</v>
      </c>
      <c r="J894" s="13">
        <f t="shared" si="142"/>
        <v>-7.67608182796933</v>
      </c>
      <c r="K894" s="10">
        <f t="shared" si="138"/>
        <v>210.7124197100241</v>
      </c>
      <c r="L894" s="13">
        <f t="shared" si="140"/>
        <v>19.16365550676242</v>
      </c>
      <c r="M894" s="10">
        <f t="shared" si="141"/>
        <v>-3.0363444932375785</v>
      </c>
      <c r="N894" s="10">
        <f t="shared" si="139"/>
        <v>169.77188294557712</v>
      </c>
      <c r="P894" s="13">
        <f t="shared" si="144"/>
        <v>11.48757367879309</v>
      </c>
      <c r="Q894" s="13">
        <f t="shared" si="145"/>
        <v>0</v>
      </c>
    </row>
    <row r="895" spans="9:17" ht="12.75">
      <c r="I895" s="2">
        <f t="shared" si="143"/>
        <v>12585</v>
      </c>
      <c r="J895" s="13">
        <f t="shared" si="142"/>
        <v>-7.677701808714595</v>
      </c>
      <c r="K895" s="10">
        <f t="shared" si="138"/>
        <v>210.59275597614263</v>
      </c>
      <c r="L895" s="13">
        <f t="shared" si="140"/>
        <v>19.176079186012846</v>
      </c>
      <c r="M895" s="10">
        <f t="shared" si="141"/>
        <v>-3.0239208139871536</v>
      </c>
      <c r="N895" s="10">
        <f t="shared" si="139"/>
        <v>169.6256777151152</v>
      </c>
      <c r="P895" s="13">
        <f t="shared" si="144"/>
        <v>11.498377377298251</v>
      </c>
      <c r="Q895" s="13">
        <f t="shared" si="145"/>
        <v>0</v>
      </c>
    </row>
    <row r="896" spans="9:17" ht="12.75">
      <c r="I896" s="2">
        <f t="shared" si="143"/>
        <v>12600</v>
      </c>
      <c r="J896" s="13">
        <f t="shared" si="142"/>
        <v>-7.6790397329369995</v>
      </c>
      <c r="K896" s="10">
        <f t="shared" si="138"/>
        <v>210.47306698810817</v>
      </c>
      <c r="L896" s="13">
        <f t="shared" si="140"/>
        <v>19.188211025544945</v>
      </c>
      <c r="M896" s="10">
        <f t="shared" si="141"/>
        <v>-3.0117889744550546</v>
      </c>
      <c r="N896" s="10">
        <f t="shared" si="139"/>
        <v>169.48007070626215</v>
      </c>
      <c r="P896" s="13">
        <f t="shared" si="144"/>
        <v>11.509171292607945</v>
      </c>
      <c r="Q896" s="13">
        <f t="shared" si="145"/>
        <v>0</v>
      </c>
    </row>
    <row r="897" spans="9:17" ht="12.75">
      <c r="I897" s="2">
        <f t="shared" si="143"/>
        <v>12615</v>
      </c>
      <c r="J897" s="13">
        <f t="shared" si="142"/>
        <v>-7.680104626421585</v>
      </c>
      <c r="K897" s="10">
        <f t="shared" si="138"/>
        <v>210.35335714294743</v>
      </c>
      <c r="L897" s="13">
        <f t="shared" si="140"/>
        <v>19.200059661347805</v>
      </c>
      <c r="M897" s="10">
        <f t="shared" si="141"/>
        <v>-2.999940338652195</v>
      </c>
      <c r="N897" s="10">
        <f t="shared" si="139"/>
        <v>169.33504786643167</v>
      </c>
      <c r="P897" s="13">
        <f t="shared" si="144"/>
        <v>11.51995503492622</v>
      </c>
      <c r="Q897" s="13">
        <f t="shared" si="145"/>
        <v>0</v>
      </c>
    </row>
    <row r="898" spans="9:17" ht="12.75">
      <c r="I898" s="2">
        <f t="shared" si="143"/>
        <v>12630</v>
      </c>
      <c r="J898" s="13">
        <f t="shared" si="142"/>
        <v>-7.680905240014058</v>
      </c>
      <c r="K898" s="10">
        <f t="shared" si="138"/>
        <v>210.2336306969826</v>
      </c>
      <c r="L898" s="13">
        <f t="shared" si="140"/>
        <v>19.211633468901365</v>
      </c>
      <c r="M898" s="10">
        <f t="shared" si="141"/>
        <v>-2.9883665310986345</v>
      </c>
      <c r="N898" s="10">
        <f t="shared" si="139"/>
        <v>169.19059555887515</v>
      </c>
      <c r="P898" s="13">
        <f t="shared" si="144"/>
        <v>11.530728228887307</v>
      </c>
      <c r="Q898" s="13">
        <f t="shared" si="145"/>
        <v>0</v>
      </c>
    </row>
    <row r="899" spans="9:17" ht="12.75">
      <c r="I899" s="2">
        <f t="shared" si="143"/>
        <v>12645</v>
      </c>
      <c r="J899" s="13">
        <f t="shared" si="142"/>
        <v>-7.681450057958752</v>
      </c>
      <c r="K899" s="10">
        <f t="shared" si="138"/>
        <v>210.1138917701175</v>
      </c>
      <c r="L899" s="13">
        <f t="shared" si="140"/>
        <v>19.222940571054338</v>
      </c>
      <c r="M899" s="10">
        <f t="shared" si="141"/>
        <v>-2.977059428945662</v>
      </c>
      <c r="N899" s="10">
        <f t="shared" si="139"/>
        <v>169.04670055013779</v>
      </c>
      <c r="P899" s="13">
        <f t="shared" si="144"/>
        <v>11.541490513095585</v>
      </c>
      <c r="Q899" s="13">
        <f t="shared" si="145"/>
        <v>0</v>
      </c>
    </row>
    <row r="900" spans="9:17" ht="12.75">
      <c r="I900" s="2">
        <f t="shared" si="143"/>
        <v>12660</v>
      </c>
      <c r="J900" s="13">
        <f t="shared" si="142"/>
        <v>-7.68174730598378</v>
      </c>
      <c r="K900" s="10">
        <f t="shared" si="138"/>
        <v>209.9941443499936</v>
      </c>
      <c r="L900" s="13">
        <f t="shared" si="140"/>
        <v>19.233988845663635</v>
      </c>
      <c r="M900" s="10">
        <f t="shared" si="141"/>
        <v>-3.016011154336365</v>
      </c>
      <c r="N900" s="10">
        <f t="shared" si="139"/>
        <v>168.90334999789403</v>
      </c>
      <c r="P900" s="13">
        <f t="shared" si="144"/>
        <v>11.552241539679855</v>
      </c>
      <c r="Q900" s="13">
        <f t="shared" si="145"/>
        <v>0</v>
      </c>
    </row>
    <row r="901" spans="9:17" ht="12.75">
      <c r="I901" s="2">
        <f t="shared" si="143"/>
        <v>12675</v>
      </c>
      <c r="J901" s="13">
        <f t="shared" si="142"/>
        <v>-7.68293191444894</v>
      </c>
      <c r="K901" s="10">
        <f t="shared" si="138"/>
        <v>209.87439229602012</v>
      </c>
      <c r="L901" s="13">
        <f t="shared" si="140"/>
        <v>19.24591288831043</v>
      </c>
      <c r="M901" s="10">
        <f t="shared" si="141"/>
        <v>-3.0040871116895715</v>
      </c>
      <c r="N901" s="10">
        <f t="shared" si="139"/>
        <v>168.75812385281148</v>
      </c>
      <c r="P901" s="13">
        <f t="shared" si="144"/>
        <v>11.562980973861489</v>
      </c>
      <c r="Q901" s="13">
        <f t="shared" si="145"/>
        <v>0</v>
      </c>
    </row>
    <row r="902" spans="9:17" ht="12.75">
      <c r="I902" s="2">
        <f t="shared" si="143"/>
        <v>12690</v>
      </c>
      <c r="J902" s="13">
        <f t="shared" si="142"/>
        <v>-7.683849463105936</v>
      </c>
      <c r="K902" s="10">
        <f t="shared" si="138"/>
        <v>209.75462177498554</v>
      </c>
      <c r="L902" s="13">
        <f t="shared" si="140"/>
        <v>19.257559529537957</v>
      </c>
      <c r="M902" s="10">
        <f t="shared" si="141"/>
        <v>-2.992440470462043</v>
      </c>
      <c r="N902" s="10">
        <f t="shared" si="139"/>
        <v>168.61347187097263</v>
      </c>
      <c r="P902" s="13">
        <f t="shared" si="144"/>
        <v>11.573710066432021</v>
      </c>
      <c r="Q902" s="13">
        <f t="shared" si="145"/>
        <v>0</v>
      </c>
    </row>
    <row r="903" spans="9:17" ht="12.75">
      <c r="I903" s="2">
        <f t="shared" si="143"/>
        <v>12705</v>
      </c>
      <c r="J903" s="13">
        <f t="shared" si="142"/>
        <v>-7.684508517261728</v>
      </c>
      <c r="K903" s="10">
        <f t="shared" si="138"/>
        <v>209.63483695013022</v>
      </c>
      <c r="L903" s="13">
        <f t="shared" si="140"/>
        <v>19.268936970477075</v>
      </c>
      <c r="M903" s="10">
        <f t="shared" si="141"/>
        <v>-2.9810630295229252</v>
      </c>
      <c r="N903" s="10">
        <f t="shared" si="139"/>
        <v>168.4693806950201</v>
      </c>
      <c r="P903" s="13">
        <f t="shared" si="144"/>
        <v>11.584428453215347</v>
      </c>
      <c r="Q903" s="13">
        <f t="shared" si="145"/>
        <v>0</v>
      </c>
    </row>
    <row r="904" spans="9:17" ht="12.75">
      <c r="I904" s="2">
        <f t="shared" si="143"/>
        <v>12720</v>
      </c>
      <c r="J904" s="13">
        <f t="shared" si="142"/>
        <v>-7.684917381279675</v>
      </c>
      <c r="K904" s="10">
        <f t="shared" si="138"/>
        <v>209.51504185116855</v>
      </c>
      <c r="L904" s="13">
        <f t="shared" si="140"/>
        <v>19.280053164910925</v>
      </c>
      <c r="M904" s="10">
        <f t="shared" si="141"/>
        <v>-2.9699468350890754</v>
      </c>
      <c r="N904" s="10">
        <f t="shared" si="139"/>
        <v>168.3258373624952</v>
      </c>
      <c r="P904" s="13">
        <f t="shared" si="144"/>
        <v>11.59513578363125</v>
      </c>
      <c r="Q904" s="13">
        <f t="shared" si="145"/>
        <v>0</v>
      </c>
    </row>
    <row r="905" spans="9:17" ht="12.75">
      <c r="I905" s="2">
        <f t="shared" si="143"/>
        <v>12735</v>
      </c>
      <c r="J905" s="13">
        <f t="shared" si="142"/>
        <v>-7.685084106492631</v>
      </c>
      <c r="K905" s="10">
        <f t="shared" si="138"/>
        <v>209.39524037835676</v>
      </c>
      <c r="L905" s="13">
        <f t="shared" si="140"/>
        <v>19.29091582675409</v>
      </c>
      <c r="M905" s="10">
        <f t="shared" si="141"/>
        <v>-2.959084173245909</v>
      </c>
      <c r="N905" s="10">
        <f t="shared" si="139"/>
        <v>168.18282929392757</v>
      </c>
      <c r="P905" s="13">
        <f t="shared" si="144"/>
        <v>11.60583172026146</v>
      </c>
      <c r="Q905" s="13">
        <f t="shared" si="145"/>
        <v>0</v>
      </c>
    </row>
    <row r="906" spans="9:17" ht="12.75">
      <c r="I906" s="2">
        <f t="shared" si="143"/>
        <v>12750</v>
      </c>
      <c r="J906" s="13">
        <f t="shared" si="142"/>
        <v>-7.68501649887615</v>
      </c>
      <c r="K906" s="10">
        <f t="shared" si="138"/>
        <v>209.2754363064375</v>
      </c>
      <c r="L906" s="13">
        <f t="shared" si="140"/>
        <v>19.301532437305365</v>
      </c>
      <c r="M906" s="10">
        <f t="shared" si="141"/>
        <v>-2.948467562694635</v>
      </c>
      <c r="N906" s="10">
        <f t="shared" si="139"/>
        <v>168.04034428128514</v>
      </c>
      <c r="P906" s="13">
        <f t="shared" si="144"/>
        <v>11.616515938429215</v>
      </c>
      <c r="Q906" s="13">
        <f t="shared" si="145"/>
        <v>0</v>
      </c>
    </row>
    <row r="907" spans="9:17" ht="12.75">
      <c r="I907" s="2">
        <f t="shared" si="143"/>
        <v>12765</v>
      </c>
      <c r="J907" s="13">
        <f t="shared" si="142"/>
        <v>-7.684722126489195</v>
      </c>
      <c r="K907" s="10">
        <f t="shared" si="138"/>
        <v>209.1556332884648</v>
      </c>
      <c r="L907" s="13">
        <f t="shared" si="140"/>
        <v>19.311910252281105</v>
      </c>
      <c r="M907" s="10">
        <f t="shared" si="141"/>
        <v>-2.9880897477188952</v>
      </c>
      <c r="N907" s="10">
        <f t="shared" si="139"/>
        <v>167.89837047677335</v>
      </c>
      <c r="P907" s="13">
        <f t="shared" si="144"/>
        <v>11.62718812579191</v>
      </c>
      <c r="Q907" s="13">
        <f t="shared" si="145"/>
        <v>0</v>
      </c>
    </row>
    <row r="908" spans="9:17" ht="12.75">
      <c r="I908" s="2">
        <f t="shared" si="143"/>
        <v>12780</v>
      </c>
      <c r="J908" s="13">
        <f t="shared" si="142"/>
        <v>-7.685335281996988</v>
      </c>
      <c r="K908" s="10">
        <f t="shared" si="138"/>
        <v>209.03583485951287</v>
      </c>
      <c r="L908" s="13">
        <f t="shared" si="140"/>
        <v>19.323183263943456</v>
      </c>
      <c r="M908" s="10">
        <f t="shared" si="141"/>
        <v>-2.976816736056545</v>
      </c>
      <c r="N908" s="10">
        <f t="shared" si="139"/>
        <v>167.75448879563368</v>
      </c>
      <c r="P908" s="13">
        <f t="shared" si="144"/>
        <v>11.637847981946468</v>
      </c>
      <c r="Q908" s="13">
        <f t="shared" si="145"/>
        <v>0</v>
      </c>
    </row>
    <row r="909" spans="9:17" ht="12.75">
      <c r="I909" s="2">
        <f t="shared" si="143"/>
        <v>12795</v>
      </c>
      <c r="J909" s="13">
        <f t="shared" si="142"/>
        <v>-7.685700939084942</v>
      </c>
      <c r="K909" s="10">
        <f t="shared" si="138"/>
        <v>208.91602687197636</v>
      </c>
      <c r="L909" s="13">
        <f t="shared" si="140"/>
        <v>19.334197717768188</v>
      </c>
      <c r="M909" s="10">
        <f t="shared" si="141"/>
        <v>-2.965802282231813</v>
      </c>
      <c r="N909" s="10">
        <f t="shared" si="139"/>
        <v>167.6111499294716</v>
      </c>
      <c r="P909" s="13">
        <f t="shared" si="144"/>
        <v>11.648496778683246</v>
      </c>
      <c r="Q909" s="13">
        <f t="shared" si="145"/>
        <v>0</v>
      </c>
    </row>
    <row r="910" spans="9:17" ht="12.75">
      <c r="I910" s="2">
        <f t="shared" si="143"/>
        <v>12810</v>
      </c>
      <c r="J910" s="13">
        <f t="shared" si="142"/>
        <v>-7.6858270629851315</v>
      </c>
      <c r="K910" s="10">
        <f t="shared" si="138"/>
        <v>208.79621318414982</v>
      </c>
      <c r="L910" s="13">
        <f t="shared" si="140"/>
        <v>19.344961247428063</v>
      </c>
      <c r="M910" s="10">
        <f t="shared" si="141"/>
        <v>-2.9550387525719373</v>
      </c>
      <c r="N910" s="10">
        <f t="shared" si="139"/>
        <v>167.46834142828078</v>
      </c>
      <c r="P910" s="13">
        <f t="shared" si="144"/>
        <v>11.659134184442932</v>
      </c>
      <c r="Q910" s="13">
        <f t="shared" si="145"/>
        <v>0</v>
      </c>
    </row>
    <row r="911" spans="9:17" ht="12.75">
      <c r="I911" s="2">
        <f t="shared" si="143"/>
        <v>12825</v>
      </c>
      <c r="J911" s="13">
        <f t="shared" si="142"/>
        <v>-7.685721376216431</v>
      </c>
      <c r="K911" s="10">
        <f aca="true" t="shared" si="146" ref="K911:K974">MAX(D$8,K910+J910*I$41/VLOOKUP(K910,E$44:G$251,3,TRUE))</f>
        <v>208.67639753015655</v>
      </c>
      <c r="L911" s="13">
        <f t="shared" si="140"/>
        <v>19.355481256416972</v>
      </c>
      <c r="M911" s="10">
        <f t="shared" si="141"/>
        <v>-2.9445187435830285</v>
      </c>
      <c r="N911" s="10">
        <f aca="true" t="shared" si="147" ref="N911:N974">N910+M910*I$41/VLOOKUP(N910,A$44:C$251,3,TRUE)</f>
        <v>167.32605120962938</v>
      </c>
      <c r="P911" s="13">
        <f t="shared" si="144"/>
        <v>11.669759880200541</v>
      </c>
      <c r="Q911" s="13">
        <f t="shared" si="145"/>
        <v>0</v>
      </c>
    </row>
    <row r="912" spans="9:17" ht="12.75">
      <c r="I912" s="2">
        <f t="shared" si="143"/>
        <v>12840</v>
      </c>
      <c r="J912" s="13">
        <f t="shared" si="142"/>
        <v>-7.685391365944307</v>
      </c>
      <c r="K912" s="10">
        <f t="shared" si="146"/>
        <v>208.55658352373214</v>
      </c>
      <c r="L912" s="13">
        <f t="shared" si="140"/>
        <v>19.36576492500899</v>
      </c>
      <c r="M912" s="10">
        <f t="shared" si="141"/>
        <v>-2.9342350749910118</v>
      </c>
      <c r="N912" s="10">
        <f t="shared" si="147"/>
        <v>167.18426754757658</v>
      </c>
      <c r="P912" s="13">
        <f t="shared" si="144"/>
        <v>11.680373559064682</v>
      </c>
      <c r="Q912" s="13">
        <f t="shared" si="145"/>
        <v>0</v>
      </c>
    </row>
    <row r="913" spans="9:17" ht="12.75">
      <c r="I913" s="2">
        <f t="shared" si="143"/>
        <v>12855</v>
      </c>
      <c r="J913" s="13">
        <f t="shared" si="142"/>
        <v>-7.684844291117624</v>
      </c>
      <c r="K913" s="10">
        <f t="shared" si="146"/>
        <v>208.4367746618935</v>
      </c>
      <c r="L913" s="13">
        <f t="shared" si="140"/>
        <v>19.375819217006924</v>
      </c>
      <c r="M913" s="10">
        <f t="shared" si="141"/>
        <v>-2.9241807829930764</v>
      </c>
      <c r="N913" s="10">
        <f t="shared" si="147"/>
        <v>167.04297906192417</v>
      </c>
      <c r="P913" s="13">
        <f t="shared" si="144"/>
        <v>11.6909749258893</v>
      </c>
      <c r="Q913" s="13">
        <f t="shared" si="145"/>
        <v>0</v>
      </c>
    </row>
    <row r="914" spans="9:17" ht="12.75">
      <c r="I914" s="2">
        <f t="shared" si="143"/>
        <v>12870</v>
      </c>
      <c r="J914" s="13">
        <f t="shared" si="142"/>
        <v>-7.68408718938921</v>
      </c>
      <c r="K914" s="10">
        <f t="shared" si="146"/>
        <v>208.31697432849657</v>
      </c>
      <c r="L914" s="13">
        <f t="shared" si="140"/>
        <v>19.385650886286754</v>
      </c>
      <c r="M914" s="10">
        <f t="shared" si="141"/>
        <v>-2.964349113713247</v>
      </c>
      <c r="N914" s="10">
        <f t="shared" si="147"/>
        <v>166.90217470779305</v>
      </c>
      <c r="P914" s="13">
        <f t="shared" si="144"/>
        <v>11.701563696897544</v>
      </c>
      <c r="Q914" s="13">
        <f t="shared" si="145"/>
        <v>0</v>
      </c>
    </row>
    <row r="915" spans="9:17" ht="12.75">
      <c r="I915" s="2">
        <f t="shared" si="143"/>
        <v>12885</v>
      </c>
      <c r="J915" s="13">
        <f t="shared" si="142"/>
        <v>-7.684253839134321</v>
      </c>
      <c r="K915" s="10">
        <f t="shared" si="146"/>
        <v>208.19718579768613</v>
      </c>
      <c r="L915" s="13">
        <f t="shared" si="140"/>
        <v>19.39639343845169</v>
      </c>
      <c r="M915" s="10">
        <f t="shared" si="141"/>
        <v>-2.9536065615483125</v>
      </c>
      <c r="N915" s="10">
        <f t="shared" si="147"/>
        <v>166.7594361791757</v>
      </c>
      <c r="P915" s="13">
        <f t="shared" si="144"/>
        <v>11.712139599317368</v>
      </c>
      <c r="Q915" s="13">
        <f t="shared" si="145"/>
        <v>0</v>
      </c>
    </row>
    <row r="916" spans="9:17" ht="12.75">
      <c r="I916" s="2">
        <f t="shared" si="143"/>
        <v>12900</v>
      </c>
      <c r="J916" s="13">
        <f t="shared" si="142"/>
        <v>-7.684188727537723</v>
      </c>
      <c r="K916" s="10">
        <f t="shared" si="146"/>
        <v>208.07739466894472</v>
      </c>
      <c r="L916" s="13">
        <f t="shared" si="140"/>
        <v>19.406892647040213</v>
      </c>
      <c r="M916" s="10">
        <f t="shared" si="141"/>
        <v>-2.943107352959789</v>
      </c>
      <c r="N916" s="10">
        <f t="shared" si="147"/>
        <v>166.61721492299517</v>
      </c>
      <c r="P916" s="13">
        <f t="shared" si="144"/>
        <v>11.72270391950249</v>
      </c>
      <c r="Q916" s="13">
        <f t="shared" si="145"/>
        <v>0</v>
      </c>
    </row>
    <row r="917" spans="9:17" ht="12.75">
      <c r="I917" s="2">
        <f t="shared" si="143"/>
        <v>12915</v>
      </c>
      <c r="J917" s="13">
        <f t="shared" si="142"/>
        <v>-7.683899335793752</v>
      </c>
      <c r="K917" s="10">
        <f t="shared" si="146"/>
        <v>207.957604555239</v>
      </c>
      <c r="L917" s="13">
        <f t="shared" si="140"/>
        <v>19.41715568797491</v>
      </c>
      <c r="M917" s="10">
        <f t="shared" si="141"/>
        <v>-2.932844312025093</v>
      </c>
      <c r="N917" s="10">
        <f t="shared" si="147"/>
        <v>166.47549922183805</v>
      </c>
      <c r="P917" s="13">
        <f t="shared" si="144"/>
        <v>11.733256352181156</v>
      </c>
      <c r="Q917" s="13">
        <f t="shared" si="145"/>
        <v>0</v>
      </c>
    </row>
    <row r="918" spans="9:17" ht="12.75">
      <c r="I918" s="2">
        <f t="shared" si="143"/>
        <v>12930</v>
      </c>
      <c r="J918" s="13">
        <f t="shared" si="142"/>
        <v>-7.683392917095848</v>
      </c>
      <c r="K918" s="10">
        <f t="shared" si="146"/>
        <v>207.83781895290994</v>
      </c>
      <c r="L918" s="13">
        <f t="shared" si="140"/>
        <v>19.42718952084874</v>
      </c>
      <c r="M918" s="10">
        <f t="shared" si="141"/>
        <v>-2.922810479151263</v>
      </c>
      <c r="N918" s="10">
        <f t="shared" si="147"/>
        <v>166.334277703824</v>
      </c>
      <c r="P918" s="13">
        <f t="shared" si="144"/>
        <v>11.743796603752891</v>
      </c>
      <c r="Q918" s="13">
        <f t="shared" si="145"/>
        <v>0</v>
      </c>
    </row>
    <row r="919" spans="9:17" ht="12.75">
      <c r="I919" s="2">
        <f t="shared" si="143"/>
        <v>12945</v>
      </c>
      <c r="J919" s="13">
        <f t="shared" si="142"/>
        <v>-7.682676503549882</v>
      </c>
      <c r="K919" s="10">
        <f t="shared" si="146"/>
        <v>207.71804124522737</v>
      </c>
      <c r="L919" s="13">
        <f t="shared" si="140"/>
        <v>19.437000895464728</v>
      </c>
      <c r="M919" s="10">
        <f t="shared" si="141"/>
        <v>-2.912999104535274</v>
      </c>
      <c r="N919" s="10">
        <f t="shared" si="147"/>
        <v>166.1935393321891</v>
      </c>
      <c r="P919" s="13">
        <f t="shared" si="144"/>
        <v>11.754324391914846</v>
      </c>
      <c r="Q919" s="13">
        <f t="shared" si="145"/>
        <v>0</v>
      </c>
    </row>
    <row r="920" spans="9:17" ht="12.75">
      <c r="I920" s="2">
        <f t="shared" si="143"/>
        <v>12960</v>
      </c>
      <c r="J920" s="13">
        <f t="shared" si="142"/>
        <v>-7.681756912877898</v>
      </c>
      <c r="K920" s="10">
        <f t="shared" si="146"/>
        <v>207.59827470583636</v>
      </c>
      <c r="L920" s="13">
        <f t="shared" si="140"/>
        <v>19.446596358177665</v>
      </c>
      <c r="M920" s="10">
        <f t="shared" si="141"/>
        <v>-2.9034036418223366</v>
      </c>
      <c r="N920" s="10">
        <f t="shared" si="147"/>
        <v>166.05327339518408</v>
      </c>
      <c r="P920" s="13">
        <f t="shared" si="144"/>
        <v>11.764839445299767</v>
      </c>
      <c r="Q920" s="13">
        <f t="shared" si="145"/>
        <v>0</v>
      </c>
    </row>
    <row r="921" spans="9:17" ht="12.75">
      <c r="I921" s="2">
        <f t="shared" si="143"/>
        <v>12975</v>
      </c>
      <c r="J921" s="13">
        <f t="shared" si="142"/>
        <v>-7.680640754918745</v>
      </c>
      <c r="K921" s="10">
        <f t="shared" si="146"/>
        <v>207.47852250209937</v>
      </c>
      <c r="L921" s="13">
        <f t="shared" si="140"/>
        <v>19.45598225804406</v>
      </c>
      <c r="M921" s="10">
        <f t="shared" si="141"/>
        <v>-2.944017741955939</v>
      </c>
      <c r="N921" s="10">
        <f t="shared" si="147"/>
        <v>165.91346949627797</v>
      </c>
      <c r="P921" s="13">
        <f t="shared" si="144"/>
        <v>11.775341503125315</v>
      </c>
      <c r="Q921" s="13">
        <f t="shared" si="145"/>
        <v>0</v>
      </c>
    </row>
    <row r="922" spans="9:17" ht="12.75">
      <c r="I922" s="2">
        <f t="shared" si="143"/>
        <v>12990</v>
      </c>
      <c r="J922" s="13">
        <f t="shared" si="142"/>
        <v>-7.680461393239417</v>
      </c>
      <c r="K922" s="10">
        <f t="shared" si="146"/>
        <v>207.358787698337</v>
      </c>
      <c r="L922" s="13">
        <f t="shared" si="140"/>
        <v>19.466291708093706</v>
      </c>
      <c r="M922" s="10">
        <f t="shared" si="141"/>
        <v>-2.9337082919062922</v>
      </c>
      <c r="N922" s="10">
        <f t="shared" si="147"/>
        <v>165.77170995831864</v>
      </c>
      <c r="P922" s="13">
        <f t="shared" si="144"/>
        <v>11.78583031485429</v>
      </c>
      <c r="Q922" s="13">
        <f t="shared" si="145"/>
        <v>0</v>
      </c>
    </row>
    <row r="923" spans="9:17" ht="12.75">
      <c r="I923" s="2">
        <f t="shared" si="143"/>
        <v>13005</v>
      </c>
      <c r="J923" s="13">
        <f t="shared" si="142"/>
        <v>-7.680062924887729</v>
      </c>
      <c r="K923" s="10">
        <f t="shared" si="146"/>
        <v>207.23905569067412</v>
      </c>
      <c r="L923" s="13">
        <f t="shared" si="140"/>
        <v>19.476370101166808</v>
      </c>
      <c r="M923" s="10">
        <f t="shared" si="141"/>
        <v>-2.923629898833191</v>
      </c>
      <c r="N923" s="10">
        <f t="shared" si="147"/>
        <v>165.6304468381814</v>
      </c>
      <c r="P923" s="13">
        <f t="shared" si="144"/>
        <v>11.796307176279079</v>
      </c>
      <c r="Q923" s="13">
        <f t="shared" si="145"/>
        <v>0</v>
      </c>
    </row>
    <row r="924" spans="9:17" ht="12.75">
      <c r="I924" s="2">
        <f t="shared" si="143"/>
        <v>13020</v>
      </c>
      <c r="J924" s="13">
        <f t="shared" si="142"/>
        <v>-7.679452440563839</v>
      </c>
      <c r="K924" s="10">
        <f t="shared" si="146"/>
        <v>207.11932989480155</v>
      </c>
      <c r="L924" s="13">
        <f t="shared" si="140"/>
        <v>19.4862242439151</v>
      </c>
      <c r="M924" s="10">
        <f t="shared" si="141"/>
        <v>-2.913775756084899</v>
      </c>
      <c r="N924" s="10">
        <f t="shared" si="147"/>
        <v>165.48966901007384</v>
      </c>
      <c r="P924" s="13">
        <f t="shared" si="144"/>
        <v>11.80677180335126</v>
      </c>
      <c r="Q924" s="13">
        <f t="shared" si="145"/>
        <v>0</v>
      </c>
    </row>
    <row r="925" spans="9:17" ht="12.75">
      <c r="I925" s="2">
        <f t="shared" si="143"/>
        <v>13035</v>
      </c>
      <c r="J925" s="13">
        <f t="shared" si="142"/>
        <v>-7.678636814843397</v>
      </c>
      <c r="K925" s="10">
        <f t="shared" si="146"/>
        <v>206.99961361587202</v>
      </c>
      <c r="L925" s="13">
        <f t="shared" si="140"/>
        <v>19.495860737833222</v>
      </c>
      <c r="M925" s="10">
        <f t="shared" si="141"/>
        <v>-2.904139262166776</v>
      </c>
      <c r="N925" s="10">
        <f t="shared" si="147"/>
        <v>165.3493656759556</v>
      </c>
      <c r="P925" s="13">
        <f t="shared" si="144"/>
        <v>11.817223922989825</v>
      </c>
      <c r="Q925" s="13">
        <f t="shared" si="145"/>
        <v>0</v>
      </c>
    </row>
    <row r="926" spans="9:17" ht="12.75">
      <c r="I926" s="2">
        <f t="shared" si="143"/>
        <v>13050</v>
      </c>
      <c r="J926" s="13">
        <f t="shared" si="142"/>
        <v>-7.677622712730226</v>
      </c>
      <c r="K926" s="10">
        <f t="shared" si="146"/>
        <v>206.8799100518694</v>
      </c>
      <c r="L926" s="13">
        <f t="shared" si="140"/>
        <v>19.505285985459878</v>
      </c>
      <c r="M926" s="10">
        <f t="shared" si="141"/>
        <v>-2.8947140145401207</v>
      </c>
      <c r="N926" s="10">
        <f t="shared" si="147"/>
        <v>165.20952635565965</v>
      </c>
      <c r="P926" s="13">
        <f t="shared" si="144"/>
        <v>11.827663272729652</v>
      </c>
      <c r="Q926" s="13">
        <f t="shared" si="145"/>
        <v>0</v>
      </c>
    </row>
    <row r="927" spans="9:17" ht="12.75">
      <c r="I927" s="2">
        <f t="shared" si="143"/>
        <v>13065</v>
      </c>
      <c r="J927" s="13">
        <f t="shared" si="142"/>
        <v>-7.67641659601037</v>
      </c>
      <c r="K927" s="10">
        <f t="shared" si="146"/>
        <v>206.76022229687558</v>
      </c>
      <c r="L927" s="13">
        <f t="shared" si="140"/>
        <v>19.514506196391327</v>
      </c>
      <c r="M927" s="10">
        <f t="shared" si="141"/>
        <v>-2.8854938036086715</v>
      </c>
      <c r="N927" s="10">
        <f t="shared" si="147"/>
        <v>165.0701408773123</v>
      </c>
      <c r="P927" s="13">
        <f t="shared" si="144"/>
        <v>11.838089600380957</v>
      </c>
      <c r="Q927" s="13">
        <f t="shared" si="145"/>
        <v>0</v>
      </c>
    </row>
    <row r="928" spans="9:17" ht="12.75">
      <c r="I928" s="2">
        <f t="shared" si="143"/>
        <v>13080</v>
      </c>
      <c r="J928" s="13">
        <f t="shared" si="142"/>
        <v>-7.675024729413655</v>
      </c>
      <c r="K928" s="10">
        <f t="shared" si="146"/>
        <v>206.64055334423867</v>
      </c>
      <c r="L928" s="13">
        <f t="shared" si="140"/>
        <v>19.523527393113042</v>
      </c>
      <c r="M928" s="10">
        <f t="shared" si="141"/>
        <v>-2.926472606886957</v>
      </c>
      <c r="N928" s="10">
        <f t="shared" si="147"/>
        <v>164.93119936804263</v>
      </c>
      <c r="P928" s="13">
        <f t="shared" si="144"/>
        <v>11.848502663699387</v>
      </c>
      <c r="Q928" s="13">
        <f t="shared" si="145"/>
        <v>0</v>
      </c>
    </row>
    <row r="929" spans="9:17" ht="12.75">
      <c r="I929" s="2">
        <f t="shared" si="143"/>
        <v>13095</v>
      </c>
      <c r="J929" s="13">
        <f t="shared" si="142"/>
        <v>-7.6745801418963335</v>
      </c>
      <c r="K929" s="10">
        <f t="shared" si="146"/>
        <v>206.52090608964482</v>
      </c>
      <c r="L929" s="13">
        <f t="shared" si="140"/>
        <v>19.53348237196273</v>
      </c>
      <c r="M929" s="10">
        <f t="shared" si="141"/>
        <v>-2.916517628037269</v>
      </c>
      <c r="N929" s="10">
        <f t="shared" si="147"/>
        <v>164.79028465863354</v>
      </c>
      <c r="P929" s="13">
        <f t="shared" si="144"/>
        <v>11.858902230066397</v>
      </c>
      <c r="Q929" s="13">
        <f t="shared" si="145"/>
        <v>0</v>
      </c>
    </row>
    <row r="930" spans="9:17" ht="12.75">
      <c r="I930" s="2">
        <f t="shared" si="143"/>
        <v>13110</v>
      </c>
      <c r="J930" s="13">
        <f t="shared" si="142"/>
        <v>-7.673926618030311</v>
      </c>
      <c r="K930" s="10">
        <f t="shared" si="146"/>
        <v>206.40126576580076</v>
      </c>
      <c r="L930" s="13">
        <f t="shared" si="140"/>
        <v>19.54321621866811</v>
      </c>
      <c r="M930" s="10">
        <f t="shared" si="141"/>
        <v>-2.906783781331889</v>
      </c>
      <c r="N930" s="10">
        <f t="shared" si="147"/>
        <v>164.64984929864616</v>
      </c>
      <c r="P930" s="13">
        <f t="shared" si="144"/>
        <v>11.8692896006378</v>
      </c>
      <c r="Q930" s="13">
        <f t="shared" si="145"/>
        <v>0</v>
      </c>
    </row>
    <row r="931" spans="9:17" ht="12.75">
      <c r="I931" s="2">
        <f t="shared" si="143"/>
        <v>13125</v>
      </c>
      <c r="J931" s="13">
        <f t="shared" si="142"/>
        <v>-7.673070933433225</v>
      </c>
      <c r="K931" s="10">
        <f t="shared" si="146"/>
        <v>206.28163562985043</v>
      </c>
      <c r="L931" s="13">
        <f t="shared" si="140"/>
        <v>19.55273544197063</v>
      </c>
      <c r="M931" s="10">
        <f t="shared" si="141"/>
        <v>-2.89726455802937</v>
      </c>
      <c r="N931" s="10">
        <f t="shared" si="147"/>
        <v>164.5098826401859</v>
      </c>
      <c r="P931" s="13">
        <f t="shared" si="144"/>
        <v>11.879664508537404</v>
      </c>
      <c r="Q931" s="13">
        <f t="shared" si="145"/>
        <v>0</v>
      </c>
    </row>
    <row r="932" spans="9:17" ht="12.75">
      <c r="I932" s="2">
        <f t="shared" si="143"/>
        <v>13140</v>
      </c>
      <c r="J932" s="13">
        <f t="shared" si="142"/>
        <v>-7.672019657188253</v>
      </c>
      <c r="K932" s="10">
        <f t="shared" si="146"/>
        <v>206.16201883331155</v>
      </c>
      <c r="L932" s="13">
        <f t="shared" si="140"/>
        <v>19.562046354468446</v>
      </c>
      <c r="M932" s="10">
        <f t="shared" si="141"/>
        <v>-2.887953645531553</v>
      </c>
      <c r="N932" s="10">
        <f t="shared" si="147"/>
        <v>164.37037434876532</v>
      </c>
      <c r="P932" s="13">
        <f t="shared" si="144"/>
        <v>11.890026697280193</v>
      </c>
      <c r="Q932" s="13">
        <f t="shared" si="145"/>
        <v>0</v>
      </c>
    </row>
    <row r="933" spans="9:17" ht="12.75">
      <c r="I933" s="2">
        <f t="shared" si="143"/>
        <v>13155</v>
      </c>
      <c r="J933" s="13">
        <f t="shared" si="142"/>
        <v>-7.670779158105523</v>
      </c>
      <c r="K933" s="10">
        <f t="shared" si="146"/>
        <v>206.04241842529532</v>
      </c>
      <c r="L933" s="13">
        <f t="shared" si="140"/>
        <v>19.57115507854446</v>
      </c>
      <c r="M933" s="10">
        <f t="shared" si="141"/>
        <v>-2.8788449214555385</v>
      </c>
      <c r="N933" s="10">
        <f t="shared" si="147"/>
        <v>164.23131439385944</v>
      </c>
      <c r="P933" s="13">
        <f t="shared" si="144"/>
        <v>11.900375920438938</v>
      </c>
      <c r="Q933" s="13">
        <f t="shared" si="145"/>
        <v>0</v>
      </c>
    </row>
    <row r="934" spans="9:17" ht="12.75">
      <c r="I934" s="2">
        <f t="shared" si="143"/>
        <v>13170</v>
      </c>
      <c r="J934" s="13">
        <f t="shared" si="142"/>
        <v>-7.66935561079362</v>
      </c>
      <c r="K934" s="10">
        <f t="shared" si="146"/>
        <v>205.92283735562845</v>
      </c>
      <c r="L934" s="13">
        <f t="shared" si="140"/>
        <v>19.580067552114897</v>
      </c>
      <c r="M934" s="10">
        <f t="shared" si="141"/>
        <v>-2.869932447885102</v>
      </c>
      <c r="N934" s="10">
        <f t="shared" si="147"/>
        <v>164.09269303974662</v>
      </c>
      <c r="P934" s="13">
        <f t="shared" si="144"/>
        <v>11.910711941321278</v>
      </c>
      <c r="Q934" s="13">
        <f t="shared" si="145"/>
        <v>0</v>
      </c>
    </row>
    <row r="935" spans="9:17" ht="12.75">
      <c r="I935" s="2">
        <f t="shared" si="143"/>
        <v>13185</v>
      </c>
      <c r="J935" s="13">
        <f t="shared" si="142"/>
        <v>-7.667755001547382</v>
      </c>
      <c r="K935" s="10">
        <f t="shared" si="146"/>
        <v>205.80327847788064</v>
      </c>
      <c r="L935" s="13">
        <f t="shared" si="140"/>
        <v>19.588789534204242</v>
      </c>
      <c r="M935" s="10">
        <f t="shared" si="141"/>
        <v>-2.911210465795758</v>
      </c>
      <c r="N935" s="10">
        <f t="shared" si="147"/>
        <v>163.95450083662612</v>
      </c>
      <c r="P935" s="13">
        <f t="shared" si="144"/>
        <v>11.92103453265686</v>
      </c>
      <c r="Q935" s="13">
        <f t="shared" si="145"/>
        <v>0</v>
      </c>
    </row>
    <row r="936" spans="9:17" ht="12.75">
      <c r="I936" s="2">
        <f t="shared" si="143"/>
        <v>13200</v>
      </c>
      <c r="J936" s="13">
        <f t="shared" si="142"/>
        <v>-7.667110089364755</v>
      </c>
      <c r="K936" s="10">
        <f t="shared" si="146"/>
        <v>205.68374455230025</v>
      </c>
      <c r="L936" s="13">
        <f t="shared" si="140"/>
        <v>19.598453565659053</v>
      </c>
      <c r="M936" s="10">
        <f t="shared" si="141"/>
        <v>-2.901546434340947</v>
      </c>
      <c r="N936" s="10">
        <f t="shared" si="147"/>
        <v>163.814321025665</v>
      </c>
      <c r="P936" s="13">
        <f t="shared" si="144"/>
        <v>11.931343476294298</v>
      </c>
      <c r="Q936" s="13">
        <f t="shared" si="145"/>
        <v>0</v>
      </c>
    </row>
    <row r="937" spans="9:17" ht="12.75">
      <c r="I937" s="2">
        <f t="shared" si="143"/>
        <v>13215</v>
      </c>
      <c r="J937" s="13">
        <f t="shared" si="142"/>
        <v>-7.666264408926972</v>
      </c>
      <c r="K937" s="10">
        <f t="shared" si="146"/>
        <v>205.56422068036463</v>
      </c>
      <c r="L937" s="13">
        <f t="shared" si="140"/>
        <v>19.6079044844444</v>
      </c>
      <c r="M937" s="10">
        <f t="shared" si="141"/>
        <v>-2.8920955155555994</v>
      </c>
      <c r="N937" s="10">
        <f t="shared" si="147"/>
        <v>163.67460655450614</v>
      </c>
      <c r="P937" s="13">
        <f t="shared" si="144"/>
        <v>11.941640075517428</v>
      </c>
      <c r="Q937" s="13">
        <f t="shared" si="145"/>
        <v>0</v>
      </c>
    </row>
    <row r="938" spans="9:17" ht="12.75">
      <c r="I938" s="2">
        <f t="shared" si="143"/>
        <v>13230</v>
      </c>
      <c r="J938" s="13">
        <f t="shared" si="142"/>
        <v>-7.6652244815645645</v>
      </c>
      <c r="K938" s="10">
        <f t="shared" si="146"/>
        <v>205.44470999188394</v>
      </c>
      <c r="L938" s="13">
        <f t="shared" si="140"/>
        <v>19.61714855894689</v>
      </c>
      <c r="M938" s="10">
        <f t="shared" si="141"/>
        <v>-2.882851441053109</v>
      </c>
      <c r="N938" s="10">
        <f t="shared" si="147"/>
        <v>163.5353471614065</v>
      </c>
      <c r="P938" s="13">
        <f t="shared" si="144"/>
        <v>11.951924077382326</v>
      </c>
      <c r="Q938" s="13">
        <f t="shared" si="145"/>
        <v>0</v>
      </c>
    </row>
    <row r="939" spans="9:17" ht="12.75">
      <c r="I939" s="2">
        <f t="shared" si="143"/>
        <v>13245</v>
      </c>
      <c r="J939" s="13">
        <f t="shared" si="142"/>
        <v>-7.663996629820556</v>
      </c>
      <c r="K939" s="10">
        <f t="shared" si="146"/>
        <v>205.32521551500625</v>
      </c>
      <c r="L939" s="13">
        <f t="shared" si="140"/>
        <v>19.626191868682795</v>
      </c>
      <c r="M939" s="10">
        <f t="shared" si="141"/>
        <v>-2.8738081313172046</v>
      </c>
      <c r="N939" s="10">
        <f t="shared" si="147"/>
        <v>163.39653288645664</v>
      </c>
      <c r="P939" s="13">
        <f t="shared" si="144"/>
        <v>11.96219523886224</v>
      </c>
      <c r="Q939" s="13">
        <f t="shared" si="145"/>
        <v>0</v>
      </c>
    </row>
    <row r="940" spans="9:17" ht="12.75">
      <c r="I940" s="2">
        <f t="shared" si="143"/>
        <v>13260</v>
      </c>
      <c r="J940" s="13">
        <f t="shared" si="142"/>
        <v>-7.662586983476299</v>
      </c>
      <c r="K940" s="10">
        <f t="shared" si="146"/>
        <v>205.20574017931642</v>
      </c>
      <c r="L940" s="13">
        <f aca="true" t="shared" si="148" ref="L940:L1003">(K940-N940)/D$12</f>
        <v>19.635040310005532</v>
      </c>
      <c r="M940" s="10">
        <f t="shared" si="141"/>
        <v>-2.8649596899944676</v>
      </c>
      <c r="N940" s="10">
        <f t="shared" si="147"/>
        <v>163.25815406248643</v>
      </c>
      <c r="P940" s="13">
        <f t="shared" si="144"/>
        <v>11.972453326529234</v>
      </c>
      <c r="Q940" s="13">
        <f t="shared" si="145"/>
        <v>0</v>
      </c>
    </row>
    <row r="941" spans="9:17" ht="12.75">
      <c r="I941" s="2">
        <f t="shared" si="143"/>
        <v>13275</v>
      </c>
      <c r="J941" s="13">
        <f t="shared" si="142"/>
        <v>-7.6610014853948485</v>
      </c>
      <c r="K941" s="10">
        <f t="shared" si="146"/>
        <v>205.08628681884113</v>
      </c>
      <c r="L941" s="13">
        <f t="shared" si="148"/>
        <v>19.64369960164062</v>
      </c>
      <c r="M941" s="10">
        <f t="shared" si="141"/>
        <v>-2.85630039835938</v>
      </c>
      <c r="N941" s="10">
        <f t="shared" si="147"/>
        <v>163.12020130624526</v>
      </c>
      <c r="P941" s="13">
        <f t="shared" si="144"/>
        <v>11.982698116245771</v>
      </c>
      <c r="Q941" s="13">
        <f t="shared" si="145"/>
        <v>0</v>
      </c>
    </row>
    <row r="942" spans="9:17" ht="12.75">
      <c r="I942" s="2">
        <f t="shared" si="143"/>
        <v>13290</v>
      </c>
      <c r="J942" s="13">
        <f t="shared" si="142"/>
        <v>-7.659245897187269</v>
      </c>
      <c r="K942" s="10">
        <f t="shared" si="146"/>
        <v>204.96685817496277</v>
      </c>
      <c r="L942" s="13">
        <f t="shared" si="148"/>
        <v>19.652175290053226</v>
      </c>
      <c r="M942" s="10">
        <f aca="true" t="shared" si="149" ref="M942:M1005">L942-VLOOKUP(N942,A$44:C$251,2,TRUE)</f>
        <v>-3.0144913766134422</v>
      </c>
      <c r="N942" s="10">
        <f t="shared" si="147"/>
        <v>162.98266550984906</v>
      </c>
      <c r="P942" s="13">
        <f t="shared" si="144"/>
        <v>11.992929392865957</v>
      </c>
      <c r="Q942" s="13">
        <f t="shared" si="145"/>
        <v>0</v>
      </c>
    </row>
    <row r="943" spans="9:17" ht="12.75">
      <c r="I943" s="2">
        <f t="shared" si="143"/>
        <v>13305</v>
      </c>
      <c r="J943" s="13">
        <f t="shared" si="142"/>
        <v>-7.6610823223996185</v>
      </c>
      <c r="K943" s="10">
        <f t="shared" si="146"/>
        <v>204.84745689924497</v>
      </c>
      <c r="L943" s="13">
        <f t="shared" si="148"/>
        <v>19.66422927234573</v>
      </c>
      <c r="M943" s="10">
        <f t="shared" si="149"/>
        <v>-3.002437394320939</v>
      </c>
      <c r="N943" s="10">
        <f t="shared" si="147"/>
        <v>162.8375125446882</v>
      </c>
      <c r="P943" s="13">
        <f t="shared" si="144"/>
        <v>12.00314694994611</v>
      </c>
      <c r="Q943" s="13">
        <f t="shared" si="145"/>
        <v>0</v>
      </c>
    </row>
    <row r="944" spans="9:17" ht="12.75">
      <c r="I944" s="2">
        <f t="shared" si="143"/>
        <v>13320</v>
      </c>
      <c r="J944" s="13">
        <f t="shared" si="142"/>
        <v>-7.66264257578719</v>
      </c>
      <c r="K944" s="10">
        <f t="shared" si="146"/>
        <v>204.7280269951849</v>
      </c>
      <c r="L944" s="13">
        <f t="shared" si="148"/>
        <v>19.67599816815112</v>
      </c>
      <c r="M944" s="10">
        <f t="shared" si="149"/>
        <v>-2.9906684985155465</v>
      </c>
      <c r="N944" s="10">
        <f t="shared" si="147"/>
        <v>162.69293999958933</v>
      </c>
      <c r="P944" s="13">
        <f t="shared" si="144"/>
        <v>12.013355592363931</v>
      </c>
      <c r="Q944" s="13">
        <f t="shared" si="145"/>
        <v>0</v>
      </c>
    </row>
    <row r="945" spans="9:17" ht="12.75">
      <c r="I945" s="2">
        <f t="shared" si="143"/>
        <v>13335</v>
      </c>
      <c r="J945" s="13">
        <f t="shared" si="142"/>
        <v>-7.66393546050004</v>
      </c>
      <c r="K945" s="10">
        <f t="shared" si="146"/>
        <v>204.6085727680717</v>
      </c>
      <c r="L945" s="13">
        <f t="shared" si="148"/>
        <v>19.68749041830572</v>
      </c>
      <c r="M945" s="10">
        <f t="shared" si="149"/>
        <v>-2.9791762483609467</v>
      </c>
      <c r="N945" s="10">
        <f t="shared" si="147"/>
        <v>162.54893414714584</v>
      </c>
      <c r="P945" s="13">
        <f t="shared" si="144"/>
        <v>12.02355495780568</v>
      </c>
      <c r="Q945" s="13">
        <f t="shared" si="145"/>
        <v>0</v>
      </c>
    </row>
    <row r="946" spans="9:17" ht="12.75">
      <c r="I946" s="2">
        <f t="shared" si="143"/>
        <v>13350</v>
      </c>
      <c r="J946" s="13">
        <f t="shared" si="142"/>
        <v>-7.664969511860155</v>
      </c>
      <c r="K946" s="10">
        <f t="shared" si="146"/>
        <v>204.48909838596072</v>
      </c>
      <c r="L946" s="13">
        <f t="shared" si="148"/>
        <v>19.69871420915985</v>
      </c>
      <c r="M946" s="10">
        <f t="shared" si="149"/>
        <v>-2.9679524575068186</v>
      </c>
      <c r="N946" s="10">
        <f t="shared" si="147"/>
        <v>162.40548166639195</v>
      </c>
      <c r="P946" s="13">
        <f t="shared" si="144"/>
        <v>12.033744697299694</v>
      </c>
      <c r="Q946" s="13">
        <f t="shared" si="145"/>
        <v>0</v>
      </c>
    </row>
    <row r="947" spans="9:17" ht="12.75">
      <c r="I947" s="2">
        <f t="shared" si="143"/>
        <v>13365</v>
      </c>
      <c r="J947" s="13">
        <f t="shared" si="142"/>
        <v>-7.665753005476278</v>
      </c>
      <c r="K947" s="10">
        <f t="shared" si="146"/>
        <v>204.36960788384872</v>
      </c>
      <c r="L947" s="13">
        <f t="shared" si="148"/>
        <v>19.709677480268073</v>
      </c>
      <c r="M947" s="10">
        <f t="shared" si="149"/>
        <v>-2.9569891863985944</v>
      </c>
      <c r="N947" s="10">
        <f t="shared" si="147"/>
        <v>162.26256963054874</v>
      </c>
      <c r="P947" s="13">
        <f t="shared" si="144"/>
        <v>12.043924474791796</v>
      </c>
      <c r="Q947" s="13">
        <f t="shared" si="145"/>
        <v>0</v>
      </c>
    </row>
    <row r="948" spans="9:17" ht="12.75">
      <c r="I948" s="2">
        <f t="shared" si="143"/>
        <v>13380</v>
      </c>
      <c r="J948" s="13">
        <f t="shared" si="142"/>
        <v>-7.66629396511302</v>
      </c>
      <c r="K948" s="10">
        <f t="shared" si="146"/>
        <v>204.25010516772264</v>
      </c>
      <c r="L948" s="13">
        <f t="shared" si="148"/>
        <v>19.720387931846904</v>
      </c>
      <c r="M948" s="10">
        <f t="shared" si="149"/>
        <v>-2.9462787348197637</v>
      </c>
      <c r="N948" s="10">
        <f t="shared" si="147"/>
        <v>162.12018549514062</v>
      </c>
      <c r="P948" s="13">
        <f t="shared" si="144"/>
        <v>12.054093966733884</v>
      </c>
      <c r="Q948" s="13">
        <f t="shared" si="145"/>
        <v>0</v>
      </c>
    </row>
    <row r="949" spans="9:17" ht="12.75">
      <c r="I949" s="2">
        <f t="shared" si="143"/>
        <v>13395</v>
      </c>
      <c r="J949" s="13">
        <f t="shared" si="142"/>
        <v>-7.666600170321651</v>
      </c>
      <c r="K949" s="10">
        <f t="shared" si="146"/>
        <v>204.13059401848557</v>
      </c>
      <c r="L949" s="13">
        <f t="shared" si="148"/>
        <v>19.730853032006987</v>
      </c>
      <c r="M949" s="10">
        <f t="shared" si="149"/>
        <v>-3.102480301326345</v>
      </c>
      <c r="N949" s="10">
        <f t="shared" si="147"/>
        <v>161.97831708647064</v>
      </c>
      <c r="P949" s="13">
        <f t="shared" si="144"/>
        <v>12.064252861685336</v>
      </c>
      <c r="Q949" s="13">
        <f t="shared" si="145"/>
        <v>0</v>
      </c>
    </row>
    <row r="950" spans="9:17" ht="12.75">
      <c r="I950" s="2">
        <f t="shared" si="143"/>
        <v>13410</v>
      </c>
      <c r="J950" s="13">
        <f t="shared" si="142"/>
        <v>-7.670435681532181</v>
      </c>
      <c r="K950" s="10">
        <f t="shared" si="146"/>
        <v>204.01107809576388</v>
      </c>
      <c r="L950" s="13">
        <f t="shared" si="148"/>
        <v>19.74483654145899</v>
      </c>
      <c r="M950" s="10">
        <f t="shared" si="149"/>
        <v>-3.0884967918743413</v>
      </c>
      <c r="N950" s="10">
        <f t="shared" si="147"/>
        <v>161.82892730264695</v>
      </c>
      <c r="P950" s="13">
        <f t="shared" si="144"/>
        <v>12.07440085992681</v>
      </c>
      <c r="Q950" s="13">
        <f t="shared" si="145"/>
        <v>0</v>
      </c>
    </row>
    <row r="951" spans="9:17" ht="12.75">
      <c r="I951" s="2">
        <f t="shared" si="143"/>
        <v>13425</v>
      </c>
      <c r="J951" s="13">
        <f t="shared" si="142"/>
        <v>-7.673934250006269</v>
      </c>
      <c r="K951" s="10">
        <f t="shared" si="146"/>
        <v>203.89150238061123</v>
      </c>
      <c r="L951" s="13">
        <f t="shared" si="148"/>
        <v>19.758476887160644</v>
      </c>
      <c r="M951" s="10">
        <f t="shared" si="149"/>
        <v>-3.0748564461726886</v>
      </c>
      <c r="N951" s="10">
        <f t="shared" si="147"/>
        <v>161.68021084894986</v>
      </c>
      <c r="P951" s="13">
        <f t="shared" si="144"/>
        <v>12.084542637154374</v>
      </c>
      <c r="Q951" s="13">
        <f t="shared" si="145"/>
        <v>0</v>
      </c>
    </row>
    <row r="952" spans="9:17" ht="12.75">
      <c r="I952" s="2">
        <f t="shared" si="143"/>
        <v>13440</v>
      </c>
      <c r="J952" s="13">
        <f aca="true" t="shared" si="150" ref="J952:J1015">(D$7-K952)*(1/D$13+1/D$14)+D$16*(D$19*D$21*D$17+D$20*D$22*D$18)*(D$7^4-K952^4)-(K952-N952)/D$12</f>
        <v>-7.677106517496457</v>
      </c>
      <c r="K952" s="10">
        <f t="shared" si="146"/>
        <v>203.77187212568472</v>
      </c>
      <c r="L952" s="13">
        <f t="shared" si="148"/>
        <v>19.77178426240669</v>
      </c>
      <c r="M952" s="10">
        <f t="shared" si="149"/>
        <v>-3.0615490709266417</v>
      </c>
      <c r="N952" s="10">
        <f t="shared" si="147"/>
        <v>161.53215120145225</v>
      </c>
      <c r="P952" s="13">
        <f t="shared" si="144"/>
        <v>12.094677744910234</v>
      </c>
      <c r="Q952" s="13">
        <f t="shared" si="145"/>
        <v>0</v>
      </c>
    </row>
    <row r="953" spans="9:17" ht="12.75">
      <c r="I953" s="2">
        <f aca="true" t="shared" si="151" ref="I953:I1016">I952+I$41</f>
        <v>13455</v>
      </c>
      <c r="J953" s="13">
        <f t="shared" si="150"/>
        <v>-7.679962802317627</v>
      </c>
      <c r="K953" s="10">
        <f t="shared" si="146"/>
        <v>203.65219241774545</v>
      </c>
      <c r="L953" s="13">
        <f t="shared" si="148"/>
        <v>19.784768553090696</v>
      </c>
      <c r="M953" s="10">
        <f t="shared" si="149"/>
        <v>-3.0485647802426357</v>
      </c>
      <c r="N953" s="10">
        <f t="shared" si="147"/>
        <v>161.3847323270517</v>
      </c>
      <c r="P953" s="13">
        <f aca="true" t="shared" si="152" ref="P953:P1016">(D$7-K953)*(1/D$13+1/D$14)+D$16*(D$19*D$21*D$17+D$20*D$22*D$18)*(D$7^4-K953^4)</f>
        <v>12.10480575077307</v>
      </c>
      <c r="Q953" s="13">
        <f aca="true" t="shared" si="153" ref="Q953:Q1016">IF(K953=D$8,-J953,0)</f>
        <v>0</v>
      </c>
    </row>
    <row r="954" spans="9:17" ht="12.75">
      <c r="I954" s="2">
        <f t="shared" si="151"/>
        <v>13470</v>
      </c>
      <c r="J954" s="13">
        <f t="shared" si="150"/>
        <v>-7.6825131091434145</v>
      </c>
      <c r="K954" s="10">
        <f t="shared" si="146"/>
        <v>203.5324681827005</v>
      </c>
      <c r="L954" s="13">
        <f t="shared" si="148"/>
        <v>19.79743934699364</v>
      </c>
      <c r="M954" s="10">
        <f t="shared" si="149"/>
        <v>-3.0358939863396905</v>
      </c>
      <c r="N954" s="10">
        <f t="shared" si="147"/>
        <v>161.23793866866865</v>
      </c>
      <c r="P954" s="13">
        <f t="shared" si="152"/>
        <v>12.114926237850227</v>
      </c>
      <c r="Q954" s="13">
        <f t="shared" si="153"/>
        <v>0</v>
      </c>
    </row>
    <row r="955" spans="9:17" ht="12.75">
      <c r="I955" s="2">
        <f t="shared" si="151"/>
        <v>13485</v>
      </c>
      <c r="J955" s="13">
        <f t="shared" si="150"/>
        <v>-7.684767138506192</v>
      </c>
      <c r="K955" s="10">
        <f t="shared" si="146"/>
        <v>203.41270419049243</v>
      </c>
      <c r="L955" s="13">
        <f t="shared" si="148"/>
        <v>19.809805942791808</v>
      </c>
      <c r="M955" s="10">
        <f t="shared" si="149"/>
        <v>-3.023527390541524</v>
      </c>
      <c r="N955" s="10">
        <f t="shared" si="147"/>
        <v>161.09175513089176</v>
      </c>
      <c r="P955" s="13">
        <f t="shared" si="152"/>
        <v>12.125038804285616</v>
      </c>
      <c r="Q955" s="13">
        <f t="shared" si="153"/>
        <v>0</v>
      </c>
    </row>
    <row r="956" spans="9:17" ht="12.75">
      <c r="I956" s="2">
        <f t="shared" si="151"/>
        <v>13500</v>
      </c>
      <c r="J956" s="13">
        <f t="shared" si="150"/>
        <v>-7.686734296009465</v>
      </c>
      <c r="K956" s="10">
        <f t="shared" si="146"/>
        <v>203.29290505984056</v>
      </c>
      <c r="L956" s="13">
        <f t="shared" si="148"/>
        <v>19.821877358792307</v>
      </c>
      <c r="M956" s="10">
        <f t="shared" si="149"/>
        <v>-3.1781226412076933</v>
      </c>
      <c r="N956" s="10">
        <f t="shared" si="147"/>
        <v>160.946167066057</v>
      </c>
      <c r="P956" s="13">
        <f t="shared" si="152"/>
        <v>12.135143062782841</v>
      </c>
      <c r="Q956" s="13">
        <f t="shared" si="153"/>
        <v>0</v>
      </c>
    </row>
    <row r="957" spans="9:17" ht="12.75">
      <c r="I957" s="2">
        <f t="shared" si="151"/>
        <v>13515</v>
      </c>
      <c r="J957" s="13">
        <f t="shared" si="150"/>
        <v>-7.6921802189537285</v>
      </c>
      <c r="K957" s="10">
        <f t="shared" si="146"/>
        <v>203.1730752628387</v>
      </c>
      <c r="L957" s="13">
        <f t="shared" si="148"/>
        <v>19.837418859096843</v>
      </c>
      <c r="M957" s="10">
        <f t="shared" si="149"/>
        <v>-3.162581140903157</v>
      </c>
      <c r="N957" s="10">
        <f t="shared" si="147"/>
        <v>160.79313497294999</v>
      </c>
      <c r="P957" s="13">
        <f t="shared" si="152"/>
        <v>12.145238640143114</v>
      </c>
      <c r="Q957" s="13">
        <f t="shared" si="153"/>
        <v>0</v>
      </c>
    </row>
    <row r="958" spans="9:17" ht="12.75">
      <c r="I958" s="2">
        <f t="shared" si="151"/>
        <v>13530</v>
      </c>
      <c r="J958" s="13">
        <f t="shared" si="150"/>
        <v>-7.6972402263739195</v>
      </c>
      <c r="K958" s="10">
        <f t="shared" si="146"/>
        <v>203.05316056842582</v>
      </c>
      <c r="L958" s="13">
        <f t="shared" si="148"/>
        <v>19.85257032866255</v>
      </c>
      <c r="M958" s="10">
        <f t="shared" si="149"/>
        <v>-3.1474296713374486</v>
      </c>
      <c r="N958" s="10">
        <f t="shared" si="147"/>
        <v>160.64085122991946</v>
      </c>
      <c r="P958" s="13">
        <f t="shared" si="152"/>
        <v>12.155330102288632</v>
      </c>
      <c r="Q958" s="13">
        <f t="shared" si="153"/>
        <v>0</v>
      </c>
    </row>
    <row r="959" spans="9:17" ht="12.75">
      <c r="I959" s="2">
        <f t="shared" si="151"/>
        <v>13545</v>
      </c>
      <c r="J959" s="13">
        <f t="shared" si="150"/>
        <v>-7.701926441326805</v>
      </c>
      <c r="K959" s="10">
        <f t="shared" si="146"/>
        <v>202.93316699270412</v>
      </c>
      <c r="L959" s="13">
        <f t="shared" si="148"/>
        <v>19.867343374481493</v>
      </c>
      <c r="M959" s="10">
        <f t="shared" si="149"/>
        <v>-3.132656625518507</v>
      </c>
      <c r="N959" s="10">
        <f t="shared" si="147"/>
        <v>160.48929705631184</v>
      </c>
      <c r="P959" s="13">
        <f t="shared" si="152"/>
        <v>12.165416933154688</v>
      </c>
      <c r="Q959" s="13">
        <f t="shared" si="153"/>
        <v>0</v>
      </c>
    </row>
    <row r="960" spans="9:17" ht="12.75">
      <c r="I960" s="2">
        <f t="shared" si="151"/>
        <v>13560</v>
      </c>
      <c r="J960" s="13">
        <f t="shared" si="150"/>
        <v>-7.706250618645143</v>
      </c>
      <c r="K960" s="10">
        <f t="shared" si="146"/>
        <v>202.81310036278737</v>
      </c>
      <c r="L960" s="13">
        <f t="shared" si="148"/>
        <v>19.88174925347183</v>
      </c>
      <c r="M960" s="10">
        <f t="shared" si="149"/>
        <v>-3.118250746528169</v>
      </c>
      <c r="N960" s="10">
        <f t="shared" si="147"/>
        <v>160.33845423037027</v>
      </c>
      <c r="P960" s="13">
        <f t="shared" si="152"/>
        <v>12.175498634826688</v>
      </c>
      <c r="Q960" s="13">
        <f t="shared" si="153"/>
        <v>0</v>
      </c>
    </row>
    <row r="961" spans="9:17" ht="12.75">
      <c r="I961" s="2">
        <f t="shared" si="151"/>
        <v>13575</v>
      </c>
      <c r="J961" s="13">
        <f t="shared" si="150"/>
        <v>-7.710224156087904</v>
      </c>
      <c r="K961" s="10">
        <f t="shared" si="146"/>
        <v>202.69296632254128</v>
      </c>
      <c r="L961" s="13">
        <f t="shared" si="148"/>
        <v>19.895798883055182</v>
      </c>
      <c r="M961" s="10">
        <f t="shared" si="149"/>
        <v>-3.104201116944818</v>
      </c>
      <c r="N961" s="10">
        <f t="shared" si="147"/>
        <v>160.18830507237794</v>
      </c>
      <c r="P961" s="13">
        <f t="shared" si="152"/>
        <v>12.185574726967278</v>
      </c>
      <c r="Q961" s="13">
        <f t="shared" si="153"/>
        <v>0</v>
      </c>
    </row>
    <row r="962" spans="9:17" ht="12.75">
      <c r="I962" s="2">
        <f t="shared" si="151"/>
        <v>13590</v>
      </c>
      <c r="J962" s="13">
        <f t="shared" si="150"/>
        <v>-7.713858105153033</v>
      </c>
      <c r="K962" s="10">
        <f t="shared" si="146"/>
        <v>202.57277033815004</v>
      </c>
      <c r="L962" s="13">
        <f t="shared" si="148"/>
        <v>19.90950285141414</v>
      </c>
      <c r="M962" s="10">
        <f t="shared" si="149"/>
        <v>-3.090497148585861</v>
      </c>
      <c r="N962" s="10">
        <f t="shared" si="147"/>
        <v>160.03883242831074</v>
      </c>
      <c r="P962" s="13">
        <f t="shared" si="152"/>
        <v>12.195644746261106</v>
      </c>
      <c r="Q962" s="13">
        <f t="shared" si="153"/>
        <v>0</v>
      </c>
    </row>
    <row r="963" spans="9:17" ht="12.75">
      <c r="I963" s="2">
        <f t="shared" si="151"/>
        <v>13605</v>
      </c>
      <c r="J963" s="13">
        <f t="shared" si="150"/>
        <v>-7.717163181562956</v>
      </c>
      <c r="K963" s="10">
        <f t="shared" si="146"/>
        <v>202.45251770351408</v>
      </c>
      <c r="L963" s="13">
        <f t="shared" si="148"/>
        <v>19.9228714274397</v>
      </c>
      <c r="M963" s="10">
        <f t="shared" si="149"/>
        <v>-3.2437952392269693</v>
      </c>
      <c r="N963" s="10">
        <f t="shared" si="147"/>
        <v>159.8900196539838</v>
      </c>
      <c r="P963" s="13">
        <f t="shared" si="152"/>
        <v>12.205708245876743</v>
      </c>
      <c r="Q963" s="13">
        <f t="shared" si="153"/>
        <v>0</v>
      </c>
    </row>
    <row r="964" spans="9:17" ht="12.75">
      <c r="I964" s="2">
        <f t="shared" si="151"/>
        <v>13620</v>
      </c>
      <c r="J964" s="13">
        <f t="shared" si="150"/>
        <v>-7.723906293125198</v>
      </c>
      <c r="K964" s="10">
        <f t="shared" si="146"/>
        <v>202.3322135454847</v>
      </c>
      <c r="L964" s="13">
        <f t="shared" si="148"/>
        <v>19.93967108807041</v>
      </c>
      <c r="M964" s="10">
        <f t="shared" si="149"/>
        <v>-3.2269955785962594</v>
      </c>
      <c r="N964" s="10">
        <f t="shared" si="147"/>
        <v>159.73382531187974</v>
      </c>
      <c r="P964" s="13">
        <f t="shared" si="152"/>
        <v>12.21576479494521</v>
      </c>
      <c r="Q964" s="13">
        <f t="shared" si="153"/>
        <v>0</v>
      </c>
    </row>
    <row r="965" spans="9:17" ht="12.75">
      <c r="I965" s="2">
        <f t="shared" si="151"/>
        <v>13635</v>
      </c>
      <c r="J965" s="13">
        <f t="shared" si="150"/>
        <v>-7.730224029384075</v>
      </c>
      <c r="K965" s="10">
        <f t="shared" si="146"/>
        <v>202.21180426795223</v>
      </c>
      <c r="L965" s="13">
        <f t="shared" si="148"/>
        <v>19.95604289449301</v>
      </c>
      <c r="M965" s="10">
        <f t="shared" si="149"/>
        <v>-3.2106237721736584</v>
      </c>
      <c r="N965" s="10">
        <f t="shared" si="147"/>
        <v>159.57843990244444</v>
      </c>
      <c r="P965" s="13">
        <f t="shared" si="152"/>
        <v>12.225818865108934</v>
      </c>
      <c r="Q965" s="13">
        <f t="shared" si="153"/>
        <v>0</v>
      </c>
    </row>
    <row r="966" spans="9:17" ht="12.75">
      <c r="I966" s="2">
        <f t="shared" si="151"/>
        <v>13650</v>
      </c>
      <c r="J966" s="13">
        <f t="shared" si="150"/>
        <v>-7.736129706643222</v>
      </c>
      <c r="K966" s="10">
        <f t="shared" si="146"/>
        <v>202.091296502164</v>
      </c>
      <c r="L966" s="13">
        <f t="shared" si="148"/>
        <v>19.971999594147032</v>
      </c>
      <c r="M966" s="10">
        <f t="shared" si="149"/>
        <v>-3.1946670725196356</v>
      </c>
      <c r="N966" s="10">
        <f t="shared" si="147"/>
        <v>159.42384282375897</v>
      </c>
      <c r="P966" s="13">
        <f t="shared" si="152"/>
        <v>12.23586988750381</v>
      </c>
      <c r="Q966" s="13">
        <f t="shared" si="153"/>
        <v>0</v>
      </c>
    </row>
    <row r="967" spans="9:17" ht="12.75">
      <c r="I967" s="2">
        <f t="shared" si="151"/>
        <v>13665</v>
      </c>
      <c r="J967" s="13">
        <f t="shared" si="150"/>
        <v>-7.741636236919277</v>
      </c>
      <c r="K967" s="10">
        <f t="shared" si="146"/>
        <v>201.9706966717772</v>
      </c>
      <c r="L967" s="13">
        <f t="shared" si="148"/>
        <v>19.987553549986274</v>
      </c>
      <c r="M967" s="10">
        <f t="shared" si="149"/>
        <v>-3.1791131166803943</v>
      </c>
      <c r="N967" s="10">
        <f t="shared" si="147"/>
        <v>159.27001408771562</v>
      </c>
      <c r="P967" s="13">
        <f t="shared" si="152"/>
        <v>12.245917313066997</v>
      </c>
      <c r="Q967" s="13">
        <f t="shared" si="153"/>
        <v>0</v>
      </c>
    </row>
    <row r="968" spans="9:17" ht="12.75">
      <c r="I968" s="2">
        <f t="shared" si="151"/>
        <v>13680</v>
      </c>
      <c r="J968" s="13">
        <f t="shared" si="150"/>
        <v>-7.746756140181567</v>
      </c>
      <c r="K968" s="10">
        <f t="shared" si="146"/>
        <v>201.85001099916147</v>
      </c>
      <c r="L968" s="13">
        <f t="shared" si="148"/>
        <v>20.00271675209486</v>
      </c>
      <c r="M968" s="10">
        <f t="shared" si="149"/>
        <v>-3.163949914571809</v>
      </c>
      <c r="N968" s="10">
        <f t="shared" si="147"/>
        <v>159.11693430150427</v>
      </c>
      <c r="P968" s="13">
        <f t="shared" si="152"/>
        <v>12.255960611913292</v>
      </c>
      <c r="Q968" s="13">
        <f t="shared" si="153"/>
        <v>0</v>
      </c>
    </row>
    <row r="969" spans="9:17" ht="12.75">
      <c r="I969" s="2">
        <f t="shared" si="151"/>
        <v>13695</v>
      </c>
      <c r="J969" s="13">
        <f t="shared" si="150"/>
        <v>-7.751501556221504</v>
      </c>
      <c r="K969" s="10">
        <f t="shared" si="146"/>
        <v>201.72924551151053</v>
      </c>
      <c r="L969" s="13">
        <f t="shared" si="148"/>
        <v>20.01750082895223</v>
      </c>
      <c r="M969" s="10">
        <f t="shared" si="149"/>
        <v>-3.3158325043811026</v>
      </c>
      <c r="N969" s="10">
        <f t="shared" si="147"/>
        <v>158.96458464965804</v>
      </c>
      <c r="P969" s="13">
        <f t="shared" si="152"/>
        <v>12.265999272730726</v>
      </c>
      <c r="Q969" s="13">
        <f t="shared" si="153"/>
        <v>0</v>
      </c>
    </row>
    <row r="970" spans="9:17" ht="12.75">
      <c r="I970" s="2">
        <f t="shared" si="151"/>
        <v>13710</v>
      </c>
      <c r="J970" s="13">
        <f t="shared" si="150"/>
        <v>-7.7596407738551925</v>
      </c>
      <c r="K970" s="10">
        <f t="shared" si="146"/>
        <v>201.6084060467688</v>
      </c>
      <c r="L970" s="13">
        <f t="shared" si="148"/>
        <v>20.035673576049927</v>
      </c>
      <c r="M970" s="10">
        <f t="shared" si="149"/>
        <v>-3.297659757283405</v>
      </c>
      <c r="N970" s="10">
        <f t="shared" si="147"/>
        <v>158.80492158884397</v>
      </c>
      <c r="P970" s="13">
        <f t="shared" si="152"/>
        <v>12.276032802194734</v>
      </c>
      <c r="Q970" s="13">
        <f t="shared" si="153"/>
        <v>0</v>
      </c>
    </row>
    <row r="971" spans="9:17" ht="12.75">
      <c r="I971" s="2">
        <f t="shared" si="151"/>
        <v>13725</v>
      </c>
      <c r="J971" s="13">
        <f t="shared" si="150"/>
        <v>-7.767311754696543</v>
      </c>
      <c r="K971" s="10">
        <f t="shared" si="146"/>
        <v>201.48743969839103</v>
      </c>
      <c r="L971" s="13">
        <f t="shared" si="148"/>
        <v>20.05337733333139</v>
      </c>
      <c r="M971" s="10">
        <f t="shared" si="149"/>
        <v>-3.279956000001942</v>
      </c>
      <c r="N971" s="10">
        <f t="shared" si="147"/>
        <v>158.64613357718306</v>
      </c>
      <c r="P971" s="13">
        <f t="shared" si="152"/>
        <v>12.286065578634847</v>
      </c>
      <c r="Q971" s="13">
        <f t="shared" si="153"/>
        <v>0</v>
      </c>
    </row>
    <row r="972" spans="9:17" ht="12.75">
      <c r="I972" s="2">
        <f t="shared" si="151"/>
        <v>13740</v>
      </c>
      <c r="J972" s="13">
        <f t="shared" si="150"/>
        <v>-7.774529112459714</v>
      </c>
      <c r="K972" s="10">
        <f t="shared" si="146"/>
        <v>201.36635376579952</v>
      </c>
      <c r="L972" s="13">
        <f t="shared" si="148"/>
        <v>20.070626088158743</v>
      </c>
      <c r="M972" s="10">
        <f t="shared" si="149"/>
        <v>-3.262707245174589</v>
      </c>
      <c r="N972" s="10">
        <f t="shared" si="147"/>
        <v>158.48819803200584</v>
      </c>
      <c r="P972" s="13">
        <f t="shared" si="152"/>
        <v>12.29609697569903</v>
      </c>
      <c r="Q972" s="13">
        <f t="shared" si="153"/>
        <v>0</v>
      </c>
    </row>
    <row r="973" spans="9:17" ht="12.75">
      <c r="I973" s="2">
        <f t="shared" si="151"/>
        <v>13755</v>
      </c>
      <c r="J973" s="13">
        <f t="shared" si="150"/>
        <v>-7.781307017354187</v>
      </c>
      <c r="K973" s="10">
        <f t="shared" si="146"/>
        <v>201.24515532060093</v>
      </c>
      <c r="L973" s="13">
        <f t="shared" si="148"/>
        <v>20.087433405994354</v>
      </c>
      <c r="M973" s="10">
        <f t="shared" si="149"/>
        <v>-3.2458999273389786</v>
      </c>
      <c r="N973" s="10">
        <f t="shared" si="147"/>
        <v>158.33109304415845</v>
      </c>
      <c r="P973" s="13">
        <f t="shared" si="152"/>
        <v>12.306126388640166</v>
      </c>
      <c r="Q973" s="13">
        <f t="shared" si="153"/>
        <v>0</v>
      </c>
    </row>
    <row r="974" spans="9:17" ht="12.75">
      <c r="I974" s="2">
        <f t="shared" si="151"/>
        <v>13770</v>
      </c>
      <c r="J974" s="13">
        <f t="shared" si="150"/>
        <v>-7.787659209509197</v>
      </c>
      <c r="K974" s="10">
        <f t="shared" si="146"/>
        <v>201.1238512135001</v>
      </c>
      <c r="L974" s="13">
        <f t="shared" si="148"/>
        <v>20.10381244314635</v>
      </c>
      <c r="M974" s="10">
        <f t="shared" si="149"/>
        <v>-3.2295208901869827</v>
      </c>
      <c r="N974" s="10">
        <f t="shared" si="147"/>
        <v>158.17479735768745</v>
      </c>
      <c r="P974" s="13">
        <f t="shared" si="152"/>
        <v>12.316153233637152</v>
      </c>
      <c r="Q974" s="13">
        <f t="shared" si="153"/>
        <v>0</v>
      </c>
    </row>
    <row r="975" spans="9:17" ht="12.75">
      <c r="I975" s="2">
        <f t="shared" si="151"/>
        <v>13785</v>
      </c>
      <c r="J975" s="13">
        <f t="shared" si="150"/>
        <v>-7.793599011992169</v>
      </c>
      <c r="K975" s="10">
        <f aca="true" t="shared" si="154" ref="K975:K1038">MAX(D$8,K974+J974*I$41/VLOOKUP(K974,E$44:G$251,3,TRUE))</f>
        <v>201.00244808100473</v>
      </c>
      <c r="L975" s="13">
        <f t="shared" si="148"/>
        <v>20.119775959128926</v>
      </c>
      <c r="M975" s="10">
        <f t="shared" si="149"/>
        <v>-3.213557374204406</v>
      </c>
      <c r="N975" s="10">
        <f aca="true" t="shared" si="155" ref="N975:N1038">N974+M974*I$41/VLOOKUP(N974,A$44:C$251,3,TRUE)</f>
        <v>158.0192903501384</v>
      </c>
      <c r="P975" s="13">
        <f t="shared" si="152"/>
        <v>12.326176947136757</v>
      </c>
      <c r="Q975" s="13">
        <f t="shared" si="153"/>
        <v>0</v>
      </c>
    </row>
    <row r="976" spans="9:17" ht="12.75">
      <c r="I976" s="2">
        <f t="shared" si="151"/>
        <v>13800</v>
      </c>
      <c r="J976" s="13">
        <f t="shared" si="150"/>
        <v>-7.799139343433319</v>
      </c>
      <c r="K976" s="10">
        <f t="shared" si="154"/>
        <v>200.88095235192694</v>
      </c>
      <c r="L976" s="13">
        <f t="shared" si="148"/>
        <v>20.135336328649043</v>
      </c>
      <c r="M976" s="10">
        <f t="shared" si="149"/>
        <v>-3.3646636713509572</v>
      </c>
      <c r="N976" s="10">
        <f t="shared" si="155"/>
        <v>157.86455201344944</v>
      </c>
      <c r="P976" s="13">
        <f t="shared" si="152"/>
        <v>12.336196985215723</v>
      </c>
      <c r="Q976" s="13">
        <f t="shared" si="153"/>
        <v>0</v>
      </c>
    </row>
    <row r="977" spans="9:17" ht="12.75">
      <c r="I977" s="2">
        <f t="shared" si="151"/>
        <v>13815</v>
      </c>
      <c r="J977" s="13">
        <f t="shared" si="150"/>
        <v>-7.808049247960806</v>
      </c>
      <c r="K977" s="10">
        <f t="shared" si="154"/>
        <v>200.75937025368816</v>
      </c>
      <c r="L977" s="13">
        <f t="shared" si="148"/>
        <v>20.154262070923245</v>
      </c>
      <c r="M977" s="10">
        <f t="shared" si="149"/>
        <v>-3.345737929076755</v>
      </c>
      <c r="N977" s="10">
        <f t="shared" si="155"/>
        <v>157.70253764762487</v>
      </c>
      <c r="P977" s="13">
        <f t="shared" si="152"/>
        <v>12.346212822962439</v>
      </c>
      <c r="Q977" s="13">
        <f t="shared" si="153"/>
        <v>0</v>
      </c>
    </row>
    <row r="978" spans="9:17" ht="12.75">
      <c r="I978" s="2">
        <f t="shared" si="151"/>
        <v>13830</v>
      </c>
      <c r="J978" s="13">
        <f t="shared" si="150"/>
        <v>-7.8164674578872155</v>
      </c>
      <c r="K978" s="10">
        <f t="shared" si="154"/>
        <v>200.6376492574454</v>
      </c>
      <c r="L978" s="13">
        <f t="shared" si="148"/>
        <v>20.172696227796305</v>
      </c>
      <c r="M978" s="10">
        <f t="shared" si="149"/>
        <v>-3.3273037722036953</v>
      </c>
      <c r="N978" s="10">
        <f t="shared" si="155"/>
        <v>157.54143458897147</v>
      </c>
      <c r="P978" s="13">
        <f t="shared" si="152"/>
        <v>12.35622876990909</v>
      </c>
      <c r="Q978" s="13">
        <f t="shared" si="153"/>
        <v>0</v>
      </c>
    </row>
    <row r="979" spans="9:17" ht="12.75">
      <c r="I979" s="2">
        <f t="shared" si="151"/>
        <v>13845</v>
      </c>
      <c r="J979" s="13">
        <f t="shared" si="150"/>
        <v>-7.824409295743257</v>
      </c>
      <c r="K979" s="10">
        <f t="shared" si="154"/>
        <v>200.5157970283087</v>
      </c>
      <c r="L979" s="13">
        <f t="shared" si="148"/>
        <v>20.190653467087618</v>
      </c>
      <c r="M979" s="10">
        <f t="shared" si="149"/>
        <v>-3.3093465329123823</v>
      </c>
      <c r="N979" s="10">
        <f t="shared" si="155"/>
        <v>157.38121916680333</v>
      </c>
      <c r="P979" s="13">
        <f t="shared" si="152"/>
        <v>12.366244171344361</v>
      </c>
      <c r="Q979" s="13">
        <f t="shared" si="153"/>
        <v>0</v>
      </c>
    </row>
    <row r="980" spans="9:17" ht="12.75">
      <c r="I980" s="2">
        <f t="shared" si="151"/>
        <v>13860</v>
      </c>
      <c r="J980" s="13">
        <f t="shared" si="150"/>
        <v>-7.831889619155467</v>
      </c>
      <c r="K980" s="10">
        <f t="shared" si="154"/>
        <v>200.3938209925226</v>
      </c>
      <c r="L980" s="13">
        <f t="shared" si="148"/>
        <v>20.208148014207644</v>
      </c>
      <c r="M980" s="10">
        <f t="shared" si="149"/>
        <v>-3.2918519857923556</v>
      </c>
      <c r="N980" s="10">
        <f t="shared" si="155"/>
        <v>157.22186841671535</v>
      </c>
      <c r="P980" s="13">
        <f t="shared" si="152"/>
        <v>12.376258395052178</v>
      </c>
      <c r="Q980" s="13">
        <f t="shared" si="153"/>
        <v>0</v>
      </c>
    </row>
    <row r="981" spans="9:17" ht="12.75">
      <c r="I981" s="2">
        <f t="shared" si="151"/>
        <v>13875</v>
      </c>
      <c r="J981" s="13">
        <f t="shared" si="150"/>
        <v>-7.838922834916364</v>
      </c>
      <c r="K981" s="10">
        <f t="shared" si="154"/>
        <v>200.27172834471355</v>
      </c>
      <c r="L981" s="13">
        <f t="shared" si="148"/>
        <v>20.22519366552185</v>
      </c>
      <c r="M981" s="10">
        <f t="shared" si="149"/>
        <v>-3.27480633447815</v>
      </c>
      <c r="N981" s="10">
        <f t="shared" si="155"/>
        <v>157.0633600592805</v>
      </c>
      <c r="P981" s="13">
        <f t="shared" si="152"/>
        <v>12.386270830605486</v>
      </c>
      <c r="Q981" s="13">
        <f t="shared" si="153"/>
        <v>0</v>
      </c>
    </row>
    <row r="982" spans="9:17" ht="12.75">
      <c r="I982" s="2">
        <f t="shared" si="151"/>
        <v>13890</v>
      </c>
      <c r="J982" s="13">
        <f t="shared" si="150"/>
        <v>-7.845522912629066</v>
      </c>
      <c r="K982" s="10">
        <f t="shared" si="154"/>
        <v>200.14952605491814</v>
      </c>
      <c r="L982" s="13">
        <f t="shared" si="148"/>
        <v>20.241803801310752</v>
      </c>
      <c r="M982" s="10">
        <f t="shared" si="149"/>
        <v>-3.424862865355916</v>
      </c>
      <c r="N982" s="10">
        <f t="shared" si="155"/>
        <v>156.90567247939063</v>
      </c>
      <c r="P982" s="13">
        <f t="shared" si="152"/>
        <v>12.396280888681686</v>
      </c>
      <c r="Q982" s="13">
        <f t="shared" si="153"/>
        <v>0</v>
      </c>
    </row>
    <row r="983" spans="9:17" ht="12.75">
      <c r="I983" s="2">
        <f t="shared" si="151"/>
        <v>13905</v>
      </c>
      <c r="J983" s="13">
        <f t="shared" si="150"/>
        <v>-7.855459915631714</v>
      </c>
      <c r="K983" s="10">
        <f t="shared" si="154"/>
        <v>200.02722087539843</v>
      </c>
      <c r="L983" s="13">
        <f t="shared" si="148"/>
        <v>20.26174791603073</v>
      </c>
      <c r="M983" s="10">
        <f t="shared" si="149"/>
        <v>-3.4049187506359395</v>
      </c>
      <c r="N983" s="10">
        <f t="shared" si="155"/>
        <v>156.7407594184237</v>
      </c>
      <c r="P983" s="13">
        <f t="shared" si="152"/>
        <v>12.406288000399014</v>
      </c>
      <c r="Q983" s="13">
        <f t="shared" si="153"/>
        <v>0</v>
      </c>
    </row>
    <row r="984" spans="9:17" ht="12.75">
      <c r="I984" s="2">
        <f t="shared" si="151"/>
        <v>13920</v>
      </c>
      <c r="J984" s="13">
        <f t="shared" si="150"/>
        <v>-7.86487359733214</v>
      </c>
      <c r="K984" s="10">
        <f t="shared" si="154"/>
        <v>199.90476078626344</v>
      </c>
      <c r="L984" s="13">
        <f t="shared" si="148"/>
        <v>20.28116999734813</v>
      </c>
      <c r="M984" s="10">
        <f t="shared" si="149"/>
        <v>-3.385496669318538</v>
      </c>
      <c r="N984" s="10">
        <f t="shared" si="155"/>
        <v>156.5768067010197</v>
      </c>
      <c r="P984" s="13">
        <f t="shared" si="152"/>
        <v>12.41629640001599</v>
      </c>
      <c r="Q984" s="13">
        <f t="shared" si="153"/>
        <v>0</v>
      </c>
    </row>
    <row r="985" spans="9:17" ht="12.75">
      <c r="I985" s="2">
        <f t="shared" si="151"/>
        <v>13935</v>
      </c>
      <c r="J985" s="13">
        <f t="shared" si="150"/>
        <v>-7.87378023747857</v>
      </c>
      <c r="K985" s="10">
        <f t="shared" si="154"/>
        <v>199.78215394565717</v>
      </c>
      <c r="L985" s="13">
        <f t="shared" si="148"/>
        <v>20.300085630134937</v>
      </c>
      <c r="M985" s="10">
        <f t="shared" si="149"/>
        <v>-3.3665810365317306</v>
      </c>
      <c r="N985" s="10">
        <f t="shared" si="155"/>
        <v>156.4137891903689</v>
      </c>
      <c r="P985" s="13">
        <f t="shared" si="152"/>
        <v>12.426305392656367</v>
      </c>
      <c r="Q985" s="13">
        <f t="shared" si="153"/>
        <v>0</v>
      </c>
    </row>
    <row r="986" spans="9:17" ht="12.75">
      <c r="I986" s="2">
        <f t="shared" si="151"/>
        <v>13950</v>
      </c>
      <c r="J986" s="13">
        <f t="shared" si="150"/>
        <v>-7.8821956219962654</v>
      </c>
      <c r="K986" s="10">
        <f t="shared" si="154"/>
        <v>199.6594082579359</v>
      </c>
      <c r="L986" s="13">
        <f t="shared" si="148"/>
        <v>20.31850992919978</v>
      </c>
      <c r="M986" s="10">
        <f t="shared" si="149"/>
        <v>-3.348156737466887</v>
      </c>
      <c r="N986" s="10">
        <f t="shared" si="155"/>
        <v>156.2516825001</v>
      </c>
      <c r="P986" s="13">
        <f t="shared" si="152"/>
        <v>12.436314307203515</v>
      </c>
      <c r="Q986" s="13">
        <f t="shared" si="153"/>
        <v>0</v>
      </c>
    </row>
    <row r="987" spans="9:17" ht="12.75">
      <c r="I987" s="2">
        <f t="shared" si="151"/>
        <v>13965</v>
      </c>
      <c r="J987" s="13">
        <f t="shared" si="150"/>
        <v>-7.890135057930728</v>
      </c>
      <c r="K987" s="10">
        <f t="shared" si="154"/>
        <v>199.53653138136647</v>
      </c>
      <c r="L987" s="13">
        <f t="shared" si="148"/>
        <v>20.336457553486238</v>
      </c>
      <c r="M987" s="10">
        <f t="shared" si="149"/>
        <v>-3.3302091131804303</v>
      </c>
      <c r="N987" s="10">
        <f t="shared" si="155"/>
        <v>156.09046297164588</v>
      </c>
      <c r="P987" s="13">
        <f t="shared" si="152"/>
        <v>12.44632249555551</v>
      </c>
      <c r="Q987" s="13">
        <f t="shared" si="153"/>
        <v>0</v>
      </c>
    </row>
    <row r="988" spans="9:17" ht="12.75">
      <c r="I988" s="2">
        <f t="shared" si="151"/>
        <v>13980</v>
      </c>
      <c r="J988" s="13">
        <f t="shared" si="150"/>
        <v>-7.89761338793903</v>
      </c>
      <c r="K988" s="10">
        <f t="shared" si="154"/>
        <v>199.4135307355916</v>
      </c>
      <c r="L988" s="13">
        <f t="shared" si="148"/>
        <v>20.35394271984199</v>
      </c>
      <c r="M988" s="10">
        <f t="shared" si="149"/>
        <v>-3.4793906134913435</v>
      </c>
      <c r="N988" s="10">
        <f t="shared" si="155"/>
        <v>155.9301076522928</v>
      </c>
      <c r="P988" s="13">
        <f t="shared" si="152"/>
        <v>12.456329331902959</v>
      </c>
      <c r="Q988" s="13">
        <f t="shared" si="153"/>
        <v>0</v>
      </c>
    </row>
    <row r="989" spans="9:17" ht="12.75">
      <c r="I989" s="2">
        <f t="shared" si="151"/>
        <v>13995</v>
      </c>
      <c r="J989" s="13">
        <f t="shared" si="150"/>
        <v>-7.908401522035366</v>
      </c>
      <c r="K989" s="10">
        <f t="shared" si="154"/>
        <v>199.29041350886928</v>
      </c>
      <c r="L989" s="13">
        <f t="shared" si="148"/>
        <v>20.374735734064327</v>
      </c>
      <c r="M989" s="10">
        <f t="shared" si="149"/>
        <v>-3.4585975992690052</v>
      </c>
      <c r="N989" s="10">
        <f t="shared" si="155"/>
        <v>155.7625689860955</v>
      </c>
      <c r="P989" s="13">
        <f t="shared" si="152"/>
        <v>12.466334212028961</v>
      </c>
      <c r="Q989" s="13">
        <f t="shared" si="153"/>
        <v>0</v>
      </c>
    </row>
    <row r="990" spans="9:17" ht="12.75">
      <c r="I990" s="2">
        <f t="shared" si="151"/>
        <v>14010</v>
      </c>
      <c r="J990" s="13">
        <f t="shared" si="150"/>
        <v>-7.918640067381514</v>
      </c>
      <c r="K990" s="10">
        <f t="shared" si="154"/>
        <v>199.16712810410556</v>
      </c>
      <c r="L990" s="13">
        <f t="shared" si="148"/>
        <v>20.39498137069544</v>
      </c>
      <c r="M990" s="10">
        <f t="shared" si="149"/>
        <v>-3.438351962637892</v>
      </c>
      <c r="N990" s="10">
        <f t="shared" si="155"/>
        <v>155.59603153943803</v>
      </c>
      <c r="P990" s="13">
        <f t="shared" si="152"/>
        <v>12.476341303313927</v>
      </c>
      <c r="Q990" s="13">
        <f t="shared" si="153"/>
        <v>0</v>
      </c>
    </row>
    <row r="991" spans="9:17" ht="12.75">
      <c r="I991" s="2">
        <f t="shared" si="151"/>
        <v>14025</v>
      </c>
      <c r="J991" s="13">
        <f t="shared" si="150"/>
        <v>-7.9283460987064185</v>
      </c>
      <c r="K991" s="10">
        <f t="shared" si="154"/>
        <v>199.0436830889321</v>
      </c>
      <c r="L991" s="13">
        <f t="shared" si="148"/>
        <v>20.414695977517752</v>
      </c>
      <c r="M991" s="10">
        <f t="shared" si="149"/>
        <v>-3.41863735581558</v>
      </c>
      <c r="N991" s="10">
        <f t="shared" si="155"/>
        <v>155.4304689551442</v>
      </c>
      <c r="P991" s="13">
        <f t="shared" si="152"/>
        <v>12.486349878811334</v>
      </c>
      <c r="Q991" s="13">
        <f t="shared" si="153"/>
        <v>0</v>
      </c>
    </row>
    <row r="992" spans="9:17" ht="12.75">
      <c r="I992" s="2">
        <f t="shared" si="151"/>
        <v>14040</v>
      </c>
      <c r="J992" s="13">
        <f t="shared" si="150"/>
        <v>-7.937536172906746</v>
      </c>
      <c r="K992" s="10">
        <f t="shared" si="154"/>
        <v>198.9200867647998</v>
      </c>
      <c r="L992" s="13">
        <f t="shared" si="148"/>
        <v>20.43389540925399</v>
      </c>
      <c r="M992" s="10">
        <f t="shared" si="149"/>
        <v>-3.3994379240793435</v>
      </c>
      <c r="N992" s="10">
        <f t="shared" si="155"/>
        <v>155.26585566321174</v>
      </c>
      <c r="P992" s="13">
        <f t="shared" si="152"/>
        <v>12.496359236347242</v>
      </c>
      <c r="Q992" s="13">
        <f t="shared" si="153"/>
        <v>0</v>
      </c>
    </row>
    <row r="993" spans="9:17" ht="12.75">
      <c r="I993" s="2">
        <f t="shared" si="151"/>
        <v>14055</v>
      </c>
      <c r="J993" s="13">
        <f t="shared" si="150"/>
        <v>-7.946226344714651</v>
      </c>
      <c r="K993" s="10">
        <f t="shared" si="154"/>
        <v>198.79634717505127</v>
      </c>
      <c r="L993" s="13">
        <f t="shared" si="148"/>
        <v>20.452595042459002</v>
      </c>
      <c r="M993" s="10">
        <f t="shared" si="149"/>
        <v>-3.38073829087433</v>
      </c>
      <c r="N993" s="10">
        <f t="shared" si="155"/>
        <v>155.10216685707067</v>
      </c>
      <c r="P993" s="13">
        <f t="shared" si="152"/>
        <v>12.506368697744351</v>
      </c>
      <c r="Q993" s="13">
        <f t="shared" si="153"/>
        <v>0</v>
      </c>
    </row>
    <row r="994" spans="9:17" ht="12.75">
      <c r="I994" s="2">
        <f t="shared" si="151"/>
        <v>14070</v>
      </c>
      <c r="J994" s="13">
        <f t="shared" si="150"/>
        <v>-7.95443218189175</v>
      </c>
      <c r="K994" s="10">
        <f t="shared" si="154"/>
        <v>198.67247211274915</v>
      </c>
      <c r="L994" s="13">
        <f t="shared" si="148"/>
        <v>20.470809789961518</v>
      </c>
      <c r="M994" s="10">
        <f t="shared" si="149"/>
        <v>-3.5291902100384824</v>
      </c>
      <c r="N994" s="10">
        <f t="shared" si="155"/>
        <v>154.93937847055864</v>
      </c>
      <c r="P994" s="13">
        <f t="shared" si="152"/>
        <v>12.516377608069767</v>
      </c>
      <c r="Q994" s="13">
        <f t="shared" si="153"/>
        <v>0</v>
      </c>
    </row>
    <row r="995" spans="9:17" ht="12.75">
      <c r="I995" s="2">
        <f t="shared" si="151"/>
        <v>14085</v>
      </c>
      <c r="J995" s="13">
        <f t="shared" si="150"/>
        <v>-7.965925297656263</v>
      </c>
      <c r="K995" s="10">
        <f t="shared" si="154"/>
        <v>198.5484691282677</v>
      </c>
      <c r="L995" s="13">
        <f t="shared" si="148"/>
        <v>20.49231063256197</v>
      </c>
      <c r="M995" s="10">
        <f t="shared" si="149"/>
        <v>-3.5076893674380294</v>
      </c>
      <c r="N995" s="10">
        <f t="shared" si="155"/>
        <v>154.7694418677944</v>
      </c>
      <c r="P995" s="13">
        <f t="shared" si="152"/>
        <v>12.526385334905708</v>
      </c>
      <c r="Q995" s="13">
        <f t="shared" si="153"/>
        <v>0</v>
      </c>
    </row>
    <row r="996" spans="9:17" ht="12.75">
      <c r="I996" s="2">
        <f t="shared" si="151"/>
        <v>14100</v>
      </c>
      <c r="J996" s="13">
        <f t="shared" si="150"/>
        <v>-7.976847013780612</v>
      </c>
      <c r="K996" s="10">
        <f t="shared" si="154"/>
        <v>198.42428697566675</v>
      </c>
      <c r="L996" s="13">
        <f t="shared" si="148"/>
        <v>20.513242999460363</v>
      </c>
      <c r="M996" s="10">
        <f t="shared" si="149"/>
        <v>-3.4867570005396367</v>
      </c>
      <c r="N996" s="10">
        <f t="shared" si="155"/>
        <v>154.6005405677287</v>
      </c>
      <c r="P996" s="13">
        <f t="shared" si="152"/>
        <v>12.536395985679752</v>
      </c>
      <c r="Q996" s="13">
        <f t="shared" si="153"/>
        <v>0</v>
      </c>
    </row>
    <row r="997" spans="9:17" ht="12.75">
      <c r="I997" s="2">
        <f t="shared" si="151"/>
        <v>14115</v>
      </c>
      <c r="J997" s="13">
        <f t="shared" si="150"/>
        <v>-7.9872150650626565</v>
      </c>
      <c r="K997" s="10">
        <f t="shared" si="154"/>
        <v>198.2999345625916</v>
      </c>
      <c r="L997" s="13">
        <f t="shared" si="148"/>
        <v>20.533623873127</v>
      </c>
      <c r="M997" s="10">
        <f t="shared" si="149"/>
        <v>-3.4663761268730013</v>
      </c>
      <c r="N997" s="10">
        <f t="shared" si="155"/>
        <v>154.43264719727483</v>
      </c>
      <c r="P997" s="13">
        <f t="shared" si="152"/>
        <v>12.546408808064342</v>
      </c>
      <c r="Q997" s="13">
        <f t="shared" si="153"/>
        <v>0</v>
      </c>
    </row>
    <row r="998" spans="9:17" ht="12.75">
      <c r="I998" s="2">
        <f t="shared" si="151"/>
        <v>14130</v>
      </c>
      <c r="J998" s="13">
        <f t="shared" si="150"/>
        <v>-7.997046648540753</v>
      </c>
      <c r="K998" s="10">
        <f t="shared" si="154"/>
        <v>198.17542052021687</v>
      </c>
      <c r="L998" s="13">
        <f t="shared" si="148"/>
        <v>20.553469723850657</v>
      </c>
      <c r="M998" s="10">
        <f t="shared" si="149"/>
        <v>-3.4465302761493426</v>
      </c>
      <c r="N998" s="10">
        <f t="shared" si="155"/>
        <v>154.26573520108138</v>
      </c>
      <c r="P998" s="13">
        <f t="shared" si="152"/>
        <v>12.556423075309905</v>
      </c>
      <c r="Q998" s="13">
        <f t="shared" si="153"/>
        <v>0</v>
      </c>
    </row>
    <row r="999" spans="9:17" ht="12.75">
      <c r="I999" s="2">
        <f t="shared" si="151"/>
        <v>14145</v>
      </c>
      <c r="J999" s="13">
        <f t="shared" si="150"/>
        <v>-8.006358439762465</v>
      </c>
      <c r="K999" s="10">
        <f t="shared" si="154"/>
        <v>198.0507532116296</v>
      </c>
      <c r="L999" s="13">
        <f t="shared" si="148"/>
        <v>20.572796525206723</v>
      </c>
      <c r="M999" s="10">
        <f t="shared" si="149"/>
        <v>-3.427203474793277</v>
      </c>
      <c r="N999" s="10">
        <f t="shared" si="155"/>
        <v>154.0997788168698</v>
      </c>
      <c r="P999" s="13">
        <f t="shared" si="152"/>
        <v>12.566438085444258</v>
      </c>
      <c r="Q999" s="13">
        <f t="shared" si="153"/>
        <v>0</v>
      </c>
    </row>
    <row r="1000" spans="9:17" ht="12.75">
      <c r="I1000" s="2">
        <f t="shared" si="151"/>
        <v>14160</v>
      </c>
      <c r="J1000" s="13">
        <f t="shared" si="150"/>
        <v>-8.01516660856162</v>
      </c>
      <c r="K1000" s="10">
        <f t="shared" si="154"/>
        <v>197.9259407399589</v>
      </c>
      <c r="L1000" s="13">
        <f t="shared" si="148"/>
        <v>20.591619769058042</v>
      </c>
      <c r="M1000" s="10">
        <f t="shared" si="149"/>
        <v>-3.575046897608626</v>
      </c>
      <c r="N1000" s="10">
        <f t="shared" si="155"/>
        <v>153.9347530515167</v>
      </c>
      <c r="P1000" s="13">
        <f t="shared" si="152"/>
        <v>12.576453160496422</v>
      </c>
      <c r="Q1000" s="13">
        <f t="shared" si="153"/>
        <v>0</v>
      </c>
    </row>
    <row r="1001" spans="9:17" ht="12.75">
      <c r="I1001" s="2">
        <f t="shared" si="151"/>
        <v>14175</v>
      </c>
      <c r="J1001" s="13">
        <f t="shared" si="150"/>
        <v>-8.027243352050846</v>
      </c>
      <c r="K1001" s="10">
        <f t="shared" si="154"/>
        <v>197.80099095625962</v>
      </c>
      <c r="L1001" s="13">
        <f t="shared" si="148"/>
        <v>20.613710997794943</v>
      </c>
      <c r="M1001" s="10">
        <f t="shared" si="149"/>
        <v>-3.552955668871725</v>
      </c>
      <c r="N1001" s="10">
        <f t="shared" si="155"/>
        <v>153.76260837006134</v>
      </c>
      <c r="P1001" s="13">
        <f t="shared" si="152"/>
        <v>12.586467645744097</v>
      </c>
      <c r="Q1001" s="13">
        <f t="shared" si="153"/>
        <v>0</v>
      </c>
    </row>
    <row r="1002" spans="9:17" ht="12.75">
      <c r="I1002" s="2">
        <f t="shared" si="151"/>
        <v>14190</v>
      </c>
      <c r="J1002" s="13">
        <f t="shared" si="150"/>
        <v>-8.038730590913273</v>
      </c>
      <c r="K1002" s="10">
        <f t="shared" si="154"/>
        <v>197.67585290616987</v>
      </c>
      <c r="L1002" s="13">
        <f t="shared" si="148"/>
        <v>20.635216185288833</v>
      </c>
      <c r="M1002" s="10">
        <f t="shared" si="149"/>
        <v>-3.531450481377835</v>
      </c>
      <c r="N1002" s="10">
        <f t="shared" si="155"/>
        <v>153.59152741941645</v>
      </c>
      <c r="P1002" s="13">
        <f t="shared" si="152"/>
        <v>12.59648559437556</v>
      </c>
      <c r="Q1002" s="13">
        <f t="shared" si="153"/>
        <v>0</v>
      </c>
    </row>
    <row r="1003" spans="9:17" ht="12.75">
      <c r="I1003" s="2">
        <f t="shared" si="151"/>
        <v>14205</v>
      </c>
      <c r="J1003" s="13">
        <f t="shared" si="150"/>
        <v>-8.04964660782288</v>
      </c>
      <c r="K1003" s="10">
        <f t="shared" si="154"/>
        <v>197.5505357795766</v>
      </c>
      <c r="L1003" s="13">
        <f t="shared" si="148"/>
        <v>20.656152842034736</v>
      </c>
      <c r="M1003" s="10">
        <f t="shared" si="149"/>
        <v>-3.510513824631932</v>
      </c>
      <c r="N1003" s="10">
        <f t="shared" si="155"/>
        <v>153.4214819806842</v>
      </c>
      <c r="P1003" s="13">
        <f t="shared" si="152"/>
        <v>12.606506234211857</v>
      </c>
      <c r="Q1003" s="13">
        <f t="shared" si="153"/>
        <v>0</v>
      </c>
    </row>
    <row r="1004" spans="9:17" ht="12.75">
      <c r="I1004" s="2">
        <f t="shared" si="151"/>
        <v>14220</v>
      </c>
      <c r="J1004" s="13">
        <f t="shared" si="150"/>
        <v>-8.060009131161065</v>
      </c>
      <c r="K1004" s="10">
        <f t="shared" si="154"/>
        <v>197.42504848135516</v>
      </c>
      <c r="L1004" s="13">
        <f aca="true" t="shared" si="156" ref="L1004:L1067">(K1004-N1004)/D$12</f>
        <v>20.67653795044705</v>
      </c>
      <c r="M1004" s="10">
        <f t="shared" si="149"/>
        <v>-3.490128716219619</v>
      </c>
      <c r="N1004" s="10">
        <f t="shared" si="155"/>
        <v>153.25244467812738</v>
      </c>
      <c r="P1004" s="13">
        <f t="shared" si="152"/>
        <v>12.616528819285984</v>
      </c>
      <c r="Q1004" s="13">
        <f t="shared" si="153"/>
        <v>0</v>
      </c>
    </row>
    <row r="1005" spans="9:17" ht="12.75">
      <c r="I1005" s="2">
        <f t="shared" si="151"/>
        <v>14235</v>
      </c>
      <c r="J1005" s="13">
        <f t="shared" si="150"/>
        <v>-8.069835351783874</v>
      </c>
      <c r="K1005" s="10">
        <f t="shared" si="154"/>
        <v>197.2993996400102</v>
      </c>
      <c r="L1005" s="13">
        <f t="shared" si="156"/>
        <v>20.69638798080672</v>
      </c>
      <c r="M1005" s="10">
        <f t="shared" si="149"/>
        <v>-3.470278685859949</v>
      </c>
      <c r="N1005" s="10">
        <f t="shared" si="155"/>
        <v>153.0843889537413</v>
      </c>
      <c r="P1005" s="13">
        <f t="shared" si="152"/>
        <v>12.626552629022845</v>
      </c>
      <c r="Q1005" s="13">
        <f t="shared" si="153"/>
        <v>0</v>
      </c>
    </row>
    <row r="1006" spans="9:17" ht="12.75">
      <c r="I1006" s="2">
        <f t="shared" si="151"/>
        <v>14250</v>
      </c>
      <c r="J1006" s="13">
        <f t="shared" si="150"/>
        <v>-8.079141939282412</v>
      </c>
      <c r="K1006" s="10">
        <f t="shared" si="154"/>
        <v>197.17359761605513</v>
      </c>
      <c r="L1006" s="13">
        <f t="shared" si="156"/>
        <v>20.715718906726604</v>
      </c>
      <c r="M1006" s="10">
        <f aca="true" t="shared" si="157" ref="M1006:M1069">L1006-VLOOKUP(N1006,A$44:C$251,2,TRUE)</f>
        <v>-3.6176144266067283</v>
      </c>
      <c r="N1006" s="10">
        <f t="shared" si="155"/>
        <v>152.91728904259375</v>
      </c>
      <c r="P1006" s="13">
        <f t="shared" si="152"/>
        <v>12.636576967444192</v>
      </c>
      <c r="Q1006" s="13">
        <f t="shared" si="153"/>
        <v>0</v>
      </c>
    </row>
    <row r="1007" spans="9:17" ht="12.75">
      <c r="I1007" s="2">
        <f t="shared" si="151"/>
        <v>14265</v>
      </c>
      <c r="J1007" s="13">
        <f t="shared" si="150"/>
        <v>-8.091701575444278</v>
      </c>
      <c r="K1007" s="10">
        <f t="shared" si="154"/>
        <v>197.0476505101384</v>
      </c>
      <c r="L1007" s="13">
        <f t="shared" si="156"/>
        <v>20.738302737842066</v>
      </c>
      <c r="M1007" s="10">
        <f t="shared" si="157"/>
        <v>-3.5950305954912665</v>
      </c>
      <c r="N1007" s="10">
        <f t="shared" si="155"/>
        <v>152.74309466111217</v>
      </c>
      <c r="P1007" s="13">
        <f t="shared" si="152"/>
        <v>12.646601162397788</v>
      </c>
      <c r="Q1007" s="13">
        <f t="shared" si="153"/>
        <v>0</v>
      </c>
    </row>
    <row r="1008" spans="9:17" ht="12.75">
      <c r="I1008" s="2">
        <f t="shared" si="151"/>
        <v>14280</v>
      </c>
      <c r="J1008" s="13">
        <f t="shared" si="150"/>
        <v>-8.103656683654446</v>
      </c>
      <c r="K1008" s="10">
        <f t="shared" si="154"/>
        <v>196.92150760993584</v>
      </c>
      <c r="L1008" s="13">
        <f t="shared" si="156"/>
        <v>20.76028590120153</v>
      </c>
      <c r="M1008" s="10">
        <f t="shared" si="157"/>
        <v>-3.5730474321318013</v>
      </c>
      <c r="N1008" s="10">
        <f t="shared" si="155"/>
        <v>152.56998773009622</v>
      </c>
      <c r="P1008" s="13">
        <f t="shared" si="152"/>
        <v>12.656629217547085</v>
      </c>
      <c r="Q1008" s="13">
        <f t="shared" si="153"/>
        <v>0</v>
      </c>
    </row>
    <row r="1009" spans="9:17" ht="12.75">
      <c r="I1009" s="2">
        <f t="shared" si="151"/>
        <v>14295</v>
      </c>
      <c r="J1009" s="13">
        <f t="shared" si="150"/>
        <v>-8.115026001160558</v>
      </c>
      <c r="K1009" s="10">
        <f t="shared" si="154"/>
        <v>196.79517833953565</v>
      </c>
      <c r="L1009" s="13">
        <f t="shared" si="156"/>
        <v>20.781686346594636</v>
      </c>
      <c r="M1009" s="10">
        <f t="shared" si="157"/>
        <v>-3.551646986738696</v>
      </c>
      <c r="N1009" s="10">
        <f t="shared" si="155"/>
        <v>152.3979393263562</v>
      </c>
      <c r="P1009" s="13">
        <f t="shared" si="152"/>
        <v>12.666660345434078</v>
      </c>
      <c r="Q1009" s="13">
        <f t="shared" si="153"/>
        <v>0</v>
      </c>
    </row>
    <row r="1010" spans="9:17" ht="12.75">
      <c r="I1010" s="2">
        <f t="shared" si="151"/>
        <v>14310</v>
      </c>
      <c r="J1010" s="13">
        <f t="shared" si="150"/>
        <v>-8.125827697207097</v>
      </c>
      <c r="K1010" s="10">
        <f t="shared" si="154"/>
        <v>196.66867183092788</v>
      </c>
      <c r="L1010" s="13">
        <f t="shared" si="156"/>
        <v>20.802521482512027</v>
      </c>
      <c r="M1010" s="10">
        <f t="shared" si="157"/>
        <v>-3.530811850821305</v>
      </c>
      <c r="N1010" s="10">
        <f t="shared" si="155"/>
        <v>152.22692139101582</v>
      </c>
      <c r="P1010" s="13">
        <f t="shared" si="152"/>
        <v>12.67669378530493</v>
      </c>
      <c r="Q1010" s="13">
        <f t="shared" si="153"/>
        <v>0</v>
      </c>
    </row>
    <row r="1011" spans="9:17" ht="12.75">
      <c r="I1011" s="2">
        <f t="shared" si="151"/>
        <v>14325</v>
      </c>
      <c r="J1011" s="13">
        <f t="shared" si="150"/>
        <v>-8.136079390215645</v>
      </c>
      <c r="K1011" s="10">
        <f t="shared" si="154"/>
        <v>196.54199693285915</v>
      </c>
      <c r="L1011" s="13">
        <f t="shared" si="156"/>
        <v>20.822808192490488</v>
      </c>
      <c r="M1011" s="10">
        <f t="shared" si="157"/>
        <v>-3.5105251408428444</v>
      </c>
      <c r="N1011" s="10">
        <f t="shared" si="155"/>
        <v>152.05690670344765</v>
      </c>
      <c r="P1011" s="13">
        <f t="shared" si="152"/>
        <v>12.686728802274843</v>
      </c>
      <c r="Q1011" s="13">
        <f t="shared" si="153"/>
        <v>0</v>
      </c>
    </row>
    <row r="1012" spans="9:17" ht="12.75">
      <c r="I1012" s="2">
        <f t="shared" si="151"/>
        <v>14340</v>
      </c>
      <c r="J1012" s="13">
        <f t="shared" si="150"/>
        <v>-8.145798164446084</v>
      </c>
      <c r="K1012" s="10">
        <f t="shared" si="154"/>
        <v>196.41516221941956</v>
      </c>
      <c r="L1012" s="13">
        <f t="shared" si="156"/>
        <v>20.84256285096435</v>
      </c>
      <c r="M1012" s="10">
        <f t="shared" si="157"/>
        <v>-3.657437149035651</v>
      </c>
      <c r="N1012" s="10">
        <f t="shared" si="155"/>
        <v>151.88786885599572</v>
      </c>
      <c r="P1012" s="13">
        <f t="shared" si="152"/>
        <v>12.696764686518264</v>
      </c>
      <c r="Q1012" s="13">
        <f t="shared" si="153"/>
        <v>0</v>
      </c>
    </row>
    <row r="1013" spans="9:17" ht="12.75">
      <c r="I1013" s="2">
        <f t="shared" si="151"/>
        <v>14355</v>
      </c>
      <c r="J1013" s="13">
        <f t="shared" si="150"/>
        <v>-8.1587571038466</v>
      </c>
      <c r="K1013" s="10">
        <f t="shared" si="154"/>
        <v>196.2881759983698</v>
      </c>
      <c r="L1013" s="13">
        <f t="shared" si="156"/>
        <v>20.86555785633041</v>
      </c>
      <c r="M1013" s="10">
        <f t="shared" si="157"/>
        <v>-3.6344421436695917</v>
      </c>
      <c r="N1013" s="10">
        <f t="shared" si="155"/>
        <v>151.71175694166394</v>
      </c>
      <c r="P1013" s="13">
        <f t="shared" si="152"/>
        <v>12.706800752483808</v>
      </c>
      <c r="Q1013" s="13">
        <f t="shared" si="153"/>
        <v>0</v>
      </c>
    </row>
    <row r="1014" spans="9:17" ht="12.75">
      <c r="I1014" s="2">
        <f t="shared" si="151"/>
        <v>14370</v>
      </c>
      <c r="J1014" s="13">
        <f t="shared" si="150"/>
        <v>-8.171099054500964</v>
      </c>
      <c r="K1014" s="10">
        <f t="shared" si="154"/>
        <v>196.16098775822874</v>
      </c>
      <c r="L1014" s="13">
        <f t="shared" si="156"/>
        <v>20.887940012701645</v>
      </c>
      <c r="M1014" s="10">
        <f t="shared" si="157"/>
        <v>-3.6120599872983554</v>
      </c>
      <c r="N1014" s="10">
        <f t="shared" si="155"/>
        <v>151.53675227654796</v>
      </c>
      <c r="P1014" s="13">
        <f t="shared" si="152"/>
        <v>12.716840958200681</v>
      </c>
      <c r="Q1014" s="13">
        <f t="shared" si="153"/>
        <v>0</v>
      </c>
    </row>
    <row r="1015" spans="9:17" ht="12.75">
      <c r="I1015" s="2">
        <f t="shared" si="151"/>
        <v>14385</v>
      </c>
      <c r="J1015" s="13">
        <f t="shared" si="150"/>
        <v>-8.18284313063562</v>
      </c>
      <c r="K1015" s="10">
        <f t="shared" si="154"/>
        <v>196.03360711733794</v>
      </c>
      <c r="L1015" s="13">
        <f t="shared" si="156"/>
        <v>20.909727635349054</v>
      </c>
      <c r="M1015" s="10">
        <f t="shared" si="157"/>
        <v>-3.5902723646509465</v>
      </c>
      <c r="N1015" s="10">
        <f t="shared" si="155"/>
        <v>151.3628253509104</v>
      </c>
      <c r="P1015" s="13">
        <f t="shared" si="152"/>
        <v>12.726884504713434</v>
      </c>
      <c r="Q1015" s="13">
        <f t="shared" si="153"/>
        <v>0</v>
      </c>
    </row>
    <row r="1016" spans="9:17" ht="12.75">
      <c r="I1016" s="2">
        <f t="shared" si="151"/>
        <v>14400</v>
      </c>
      <c r="J1016" s="13">
        <f aca="true" t="shared" si="158" ref="J1016:J1079">(D$7-K1016)*(1/D$13+1/D$14)+D$16*(D$19*D$21*D$17+D$20*D$22*D$18)*(D$7^4-K1016^4)-(K1016-N1016)/D$12</f>
        <v>-8.194007867110376</v>
      </c>
      <c r="K1016" s="10">
        <f t="shared" si="154"/>
        <v>195.90604339606412</v>
      </c>
      <c r="L1016" s="13">
        <f t="shared" si="156"/>
        <v>20.930938487256203</v>
      </c>
      <c r="M1016" s="10">
        <f t="shared" si="157"/>
        <v>-3.5690615127437972</v>
      </c>
      <c r="N1016" s="10">
        <f t="shared" si="155"/>
        <v>151.18994753692587</v>
      </c>
      <c r="P1016" s="13">
        <f t="shared" si="152"/>
        <v>12.736930620145827</v>
      </c>
      <c r="Q1016" s="13">
        <f t="shared" si="153"/>
        <v>0</v>
      </c>
    </row>
    <row r="1017" spans="9:17" ht="12.75">
      <c r="I1017" s="2">
        <f aca="true" t="shared" si="159" ref="I1017:I1080">I1016+I$41</f>
        <v>14415</v>
      </c>
      <c r="J1017" s="13">
        <f t="shared" si="158"/>
        <v>-8.204611236940838</v>
      </c>
      <c r="K1017" s="10">
        <f t="shared" si="154"/>
        <v>195.7783056258309</v>
      </c>
      <c r="L1017" s="13">
        <f t="shared" si="156"/>
        <v>20.95158979579492</v>
      </c>
      <c r="M1017" s="10">
        <f t="shared" si="157"/>
        <v>-3.54841020420508</v>
      </c>
      <c r="N1017" s="10">
        <f t="shared" si="155"/>
        <v>151.01809106208722</v>
      </c>
      <c r="P1017" s="13">
        <f aca="true" t="shared" si="160" ref="P1017:P1080">(D$7-K1017)*(1/D$13+1/D$14)+D$16*(D$19*D$21*D$17+D$20*D$22*D$18)*(D$7^4-K1017^4)</f>
        <v>12.746978558854082</v>
      </c>
      <c r="Q1017" s="13">
        <f aca="true" t="shared" si="161" ref="Q1017:Q1080">IF(K1017=D$8,-J1017,0)</f>
        <v>0</v>
      </c>
    </row>
    <row r="1018" spans="9:17" ht="12.75">
      <c r="I1018" s="2">
        <f t="shared" si="159"/>
        <v>14430</v>
      </c>
      <c r="J1018" s="13">
        <f t="shared" si="158"/>
        <v>-8.214670668291442</v>
      </c>
      <c r="K1018" s="10">
        <f t="shared" si="154"/>
        <v>195.65040255787756</v>
      </c>
      <c r="L1018" s="13">
        <f t="shared" si="156"/>
        <v>20.97169826889733</v>
      </c>
      <c r="M1018" s="10">
        <f t="shared" si="157"/>
        <v>-3.694968397769337</v>
      </c>
      <c r="N1018" s="10">
        <f t="shared" si="155"/>
        <v>150.84722898341508</v>
      </c>
      <c r="P1018" s="13">
        <f t="shared" si="160"/>
        <v>12.75702760060589</v>
      </c>
      <c r="Q1018" s="13">
        <f t="shared" si="161"/>
        <v>0</v>
      </c>
    </row>
    <row r="1019" spans="9:17" ht="12.75">
      <c r="I1019" s="2">
        <f t="shared" si="159"/>
        <v>14445</v>
      </c>
      <c r="J1019" s="13">
        <f t="shared" si="158"/>
        <v>-8.227959578647429</v>
      </c>
      <c r="K1019" s="10">
        <f t="shared" si="154"/>
        <v>195.52234267175277</v>
      </c>
      <c r="L1019" s="13">
        <f t="shared" si="156"/>
        <v>20.99503662843183</v>
      </c>
      <c r="M1019" s="10">
        <f t="shared" si="157"/>
        <v>-3.671630038234838</v>
      </c>
      <c r="N1019" s="10">
        <f t="shared" si="155"/>
        <v>150.6693098746484</v>
      </c>
      <c r="P1019" s="13">
        <f t="shared" si="160"/>
        <v>12.767077049784401</v>
      </c>
      <c r="Q1019" s="13">
        <f t="shared" si="161"/>
        <v>0</v>
      </c>
    </row>
    <row r="1020" spans="9:17" ht="12.75">
      <c r="I1020" s="2">
        <f t="shared" si="159"/>
        <v>14460</v>
      </c>
      <c r="J1020" s="13">
        <f t="shared" si="158"/>
        <v>-8.24062117026281</v>
      </c>
      <c r="K1020" s="10">
        <f t="shared" si="154"/>
        <v>195.3940756225638</v>
      </c>
      <c r="L1020" s="13">
        <f t="shared" si="156"/>
        <v>21.01775199225839</v>
      </c>
      <c r="M1020" s="10">
        <f t="shared" si="157"/>
        <v>-3.648914674408278</v>
      </c>
      <c r="N1020" s="10">
        <f t="shared" si="155"/>
        <v>150.4925145481936</v>
      </c>
      <c r="P1020" s="13">
        <f t="shared" si="160"/>
        <v>12.77713082199558</v>
      </c>
      <c r="Q1020" s="13">
        <f t="shared" si="161"/>
        <v>0</v>
      </c>
    </row>
    <row r="1021" spans="9:17" ht="12.75">
      <c r="I1021" s="2">
        <f t="shared" si="159"/>
        <v>14475</v>
      </c>
      <c r="J1021" s="13">
        <f t="shared" si="158"/>
        <v>-8.25267486980958</v>
      </c>
      <c r="K1021" s="10">
        <f t="shared" si="154"/>
        <v>195.26561118968826</v>
      </c>
      <c r="L1021" s="13">
        <f t="shared" si="156"/>
        <v>21.039862979724393</v>
      </c>
      <c r="M1021" s="10">
        <f t="shared" si="157"/>
        <v>-3.6268036869422744</v>
      </c>
      <c r="N1021" s="10">
        <f t="shared" si="155"/>
        <v>150.3168130057316</v>
      </c>
      <c r="P1021" s="13">
        <f t="shared" si="160"/>
        <v>12.787188109914814</v>
      </c>
      <c r="Q1021" s="13">
        <f t="shared" si="161"/>
        <v>0</v>
      </c>
    </row>
    <row r="1022" spans="9:17" ht="12.75">
      <c r="I1022" s="2">
        <f t="shared" si="159"/>
        <v>14490</v>
      </c>
      <c r="J1022" s="13">
        <f t="shared" si="158"/>
        <v>-8.26413951518156</v>
      </c>
      <c r="K1022" s="10">
        <f t="shared" si="154"/>
        <v>195.1369588496581</v>
      </c>
      <c r="L1022" s="13">
        <f t="shared" si="156"/>
        <v>21.061387648756252</v>
      </c>
      <c r="M1022" s="10">
        <f t="shared" si="157"/>
        <v>-3.6052790179104157</v>
      </c>
      <c r="N1022" s="10">
        <f t="shared" si="155"/>
        <v>150.14217614549702</v>
      </c>
      <c r="P1022" s="13">
        <f t="shared" si="160"/>
        <v>12.797248133574692</v>
      </c>
      <c r="Q1022" s="13">
        <f t="shared" si="161"/>
        <v>0</v>
      </c>
    </row>
    <row r="1023" spans="9:17" ht="12.75">
      <c r="I1023" s="2">
        <f t="shared" si="159"/>
        <v>14505</v>
      </c>
      <c r="J1023" s="13">
        <f t="shared" si="158"/>
        <v>-8.275033373300046</v>
      </c>
      <c r="K1023" s="10">
        <f t="shared" si="154"/>
        <v>195.0081277853382</v>
      </c>
      <c r="L1023" s="13">
        <f t="shared" si="156"/>
        <v>21.082343512809686</v>
      </c>
      <c r="M1023" s="10">
        <f t="shared" si="157"/>
        <v>-3.750989820523646</v>
      </c>
      <c r="N1023" s="10">
        <f t="shared" si="155"/>
        <v>149.96857573524477</v>
      </c>
      <c r="P1023" s="13">
        <f t="shared" si="160"/>
        <v>12.80731013950964</v>
      </c>
      <c r="Q1023" s="13">
        <f t="shared" si="161"/>
        <v>0</v>
      </c>
    </row>
    <row r="1024" spans="9:17" ht="12.75">
      <c r="I1024" s="2">
        <f t="shared" si="159"/>
        <v>14520</v>
      </c>
      <c r="J1024" s="13">
        <f t="shared" si="158"/>
        <v>-8.289130675073826</v>
      </c>
      <c r="K1024" s="10">
        <f t="shared" si="154"/>
        <v>194.87912689482727</v>
      </c>
      <c r="L1024" s="13">
        <f t="shared" si="156"/>
        <v>21.10650407500038</v>
      </c>
      <c r="M1024" s="10">
        <f t="shared" si="157"/>
        <v>-3.726829258332952</v>
      </c>
      <c r="N1024" s="10">
        <f t="shared" si="155"/>
        <v>149.78795909823555</v>
      </c>
      <c r="P1024" s="13">
        <f t="shared" si="160"/>
        <v>12.817373399926554</v>
      </c>
      <c r="Q1024" s="13">
        <f t="shared" si="161"/>
        <v>0</v>
      </c>
    </row>
    <row r="1025" spans="9:17" ht="12.75">
      <c r="I1025" s="2">
        <f t="shared" si="159"/>
        <v>14535</v>
      </c>
      <c r="J1025" s="13">
        <f t="shared" si="158"/>
        <v>-8.30257543887085</v>
      </c>
      <c r="K1025" s="10">
        <f t="shared" si="154"/>
        <v>194.74990623910205</v>
      </c>
      <c r="L1025" s="13">
        <f t="shared" si="156"/>
        <v>21.130017210891396</v>
      </c>
      <c r="M1025" s="10">
        <f t="shared" si="157"/>
        <v>-3.7033161224419366</v>
      </c>
      <c r="N1025" s="10">
        <f t="shared" si="155"/>
        <v>149.6085058340159</v>
      </c>
      <c r="P1025" s="13">
        <f t="shared" si="160"/>
        <v>12.827441772020546</v>
      </c>
      <c r="Q1025" s="13">
        <f t="shared" si="161"/>
        <v>0</v>
      </c>
    </row>
    <row r="1026" spans="9:17" ht="12.75">
      <c r="I1026" s="2">
        <f t="shared" si="159"/>
        <v>14550</v>
      </c>
      <c r="J1026" s="13">
        <f t="shared" si="158"/>
        <v>-8.315387855326168</v>
      </c>
      <c r="K1026" s="10">
        <f t="shared" si="154"/>
        <v>194.62047599068705</v>
      </c>
      <c r="L1026" s="13">
        <f t="shared" si="156"/>
        <v>21.152902274500054</v>
      </c>
      <c r="M1026" s="10">
        <f t="shared" si="157"/>
        <v>-3.6804310588332783</v>
      </c>
      <c r="N1026" s="10">
        <f t="shared" si="155"/>
        <v>149.4301847678915</v>
      </c>
      <c r="P1026" s="13">
        <f t="shared" si="160"/>
        <v>12.837514419173885</v>
      </c>
      <c r="Q1026" s="13">
        <f t="shared" si="161"/>
        <v>0</v>
      </c>
    </row>
    <row r="1027" spans="9:17" ht="12.75">
      <c r="I1027" s="2">
        <f t="shared" si="159"/>
        <v>14565</v>
      </c>
      <c r="J1027" s="13">
        <f t="shared" si="158"/>
        <v>-8.327587503229188</v>
      </c>
      <c r="K1027" s="10">
        <f t="shared" si="154"/>
        <v>194.49084600735165</v>
      </c>
      <c r="L1027" s="13">
        <f t="shared" si="156"/>
        <v>21.175178036289207</v>
      </c>
      <c r="M1027" s="10">
        <f t="shared" si="157"/>
        <v>-3.658155297044125</v>
      </c>
      <c r="N1027" s="10">
        <f t="shared" si="155"/>
        <v>149.25296565709743</v>
      </c>
      <c r="P1027" s="13">
        <f t="shared" si="160"/>
        <v>12.84759053306002</v>
      </c>
      <c r="Q1027" s="13">
        <f t="shared" si="161"/>
        <v>0</v>
      </c>
    </row>
    <row r="1028" spans="9:17" ht="12.75">
      <c r="I1028" s="2">
        <f t="shared" si="159"/>
        <v>14580</v>
      </c>
      <c r="J1028" s="13">
        <f t="shared" si="158"/>
        <v>-8.33919336802507</v>
      </c>
      <c r="K1028" s="10">
        <f t="shared" si="154"/>
        <v>194.3610258416481</v>
      </c>
      <c r="L1028" s="13">
        <f t="shared" si="156"/>
        <v>21.196862700784695</v>
      </c>
      <c r="M1028" s="10">
        <f t="shared" si="157"/>
        <v>-3.6364706325486367</v>
      </c>
      <c r="N1028" s="10">
        <f t="shared" si="155"/>
        <v>149.07681916269897</v>
      </c>
      <c r="P1028" s="13">
        <f t="shared" si="160"/>
        <v>12.857669332759626</v>
      </c>
      <c r="Q1028" s="13">
        <f t="shared" si="161"/>
        <v>0</v>
      </c>
    </row>
    <row r="1029" spans="9:17" ht="12.75">
      <c r="I1029" s="2">
        <f t="shared" si="159"/>
        <v>14595</v>
      </c>
      <c r="J1029" s="13">
        <f t="shared" si="158"/>
        <v>-8.350223859757213</v>
      </c>
      <c r="K1029" s="10">
        <f t="shared" si="154"/>
        <v>194.23102475016137</v>
      </c>
      <c r="L1029" s="13">
        <f t="shared" si="156"/>
        <v>21.217973923660743</v>
      </c>
      <c r="M1029" s="10">
        <f t="shared" si="157"/>
        <v>-3.782026076339257</v>
      </c>
      <c r="N1029" s="10">
        <f t="shared" si="155"/>
        <v>148.9017168223407</v>
      </c>
      <c r="P1029" s="13">
        <f t="shared" si="160"/>
        <v>12.86775006390353</v>
      </c>
      <c r="Q1029" s="13">
        <f t="shared" si="161"/>
        <v>0</v>
      </c>
    </row>
    <row r="1030" spans="9:17" ht="12.75">
      <c r="I1030" s="2">
        <f t="shared" si="159"/>
        <v>14610</v>
      </c>
      <c r="J1030" s="13">
        <f t="shared" si="158"/>
        <v>-8.36445334816004</v>
      </c>
      <c r="K1030" s="10">
        <f t="shared" si="154"/>
        <v>194.10085170247916</v>
      </c>
      <c r="L1030" s="13">
        <f t="shared" si="156"/>
        <v>21.24228534600169</v>
      </c>
      <c r="M1030" s="10">
        <f t="shared" si="157"/>
        <v>-3.7577146539983097</v>
      </c>
      <c r="N1030" s="10">
        <f t="shared" si="155"/>
        <v>148.719605736021</v>
      </c>
      <c r="P1030" s="13">
        <f t="shared" si="160"/>
        <v>12.87783199784165</v>
      </c>
      <c r="Q1030" s="13">
        <f t="shared" si="161"/>
        <v>0</v>
      </c>
    </row>
    <row r="1031" spans="9:17" ht="12.75">
      <c r="I1031" s="2">
        <f t="shared" si="159"/>
        <v>14625</v>
      </c>
      <c r="J1031" s="13">
        <f t="shared" si="158"/>
        <v>-8.378026019003048</v>
      </c>
      <c r="K1031" s="10">
        <f t="shared" si="154"/>
        <v>193.97045682890302</v>
      </c>
      <c r="L1031" s="13">
        <f t="shared" si="156"/>
        <v>21.265944977216574</v>
      </c>
      <c r="M1031" s="10">
        <f t="shared" si="157"/>
        <v>-3.7340550227834264</v>
      </c>
      <c r="N1031" s="10">
        <f t="shared" si="155"/>
        <v>148.53866528666762</v>
      </c>
      <c r="P1031" s="13">
        <f t="shared" si="160"/>
        <v>12.887918958213525</v>
      </c>
      <c r="Q1031" s="13">
        <f t="shared" si="161"/>
        <v>0</v>
      </c>
    </row>
    <row r="1032" spans="9:17" ht="12.75">
      <c r="I1032" s="2">
        <f t="shared" si="159"/>
        <v>14640</v>
      </c>
      <c r="J1032" s="13">
        <f t="shared" si="158"/>
        <v>-8.390962192257922</v>
      </c>
      <c r="K1032" s="10">
        <f t="shared" si="154"/>
        <v>193.83985036867261</v>
      </c>
      <c r="L1032" s="13">
        <f t="shared" si="156"/>
        <v>21.28897230093035</v>
      </c>
      <c r="M1032" s="10">
        <f t="shared" si="157"/>
        <v>-3.71102769906965</v>
      </c>
      <c r="N1032" s="10">
        <f t="shared" si="155"/>
        <v>148.35886408941232</v>
      </c>
      <c r="P1032" s="13">
        <f t="shared" si="160"/>
        <v>12.898010108672429</v>
      </c>
      <c r="Q1032" s="13">
        <f t="shared" si="161"/>
        <v>0</v>
      </c>
    </row>
    <row r="1033" spans="9:17" ht="12.75">
      <c r="I1033" s="2">
        <f t="shared" si="159"/>
        <v>14655</v>
      </c>
      <c r="J1033" s="13">
        <f t="shared" si="158"/>
        <v>-8.403281572175242</v>
      </c>
      <c r="K1033" s="10">
        <f t="shared" si="154"/>
        <v>193.70904224425618</v>
      </c>
      <c r="L1033" s="13">
        <f t="shared" si="156"/>
        <v>21.311386213348513</v>
      </c>
      <c r="M1033" s="10">
        <f t="shared" si="157"/>
        <v>-3.688613786651487</v>
      </c>
      <c r="N1033" s="10">
        <f t="shared" si="155"/>
        <v>148.18017169755709</v>
      </c>
      <c r="P1033" s="13">
        <f t="shared" si="160"/>
        <v>12.90810464117327</v>
      </c>
      <c r="Q1033" s="13">
        <f t="shared" si="161"/>
        <v>0</v>
      </c>
    </row>
    <row r="1034" spans="9:17" ht="12.75">
      <c r="I1034" s="2">
        <f t="shared" si="159"/>
        <v>14670</v>
      </c>
      <c r="J1034" s="13">
        <f t="shared" si="158"/>
        <v>-8.415003265901731</v>
      </c>
      <c r="K1034" s="10">
        <f t="shared" si="154"/>
        <v>193.57804207094904</v>
      </c>
      <c r="L1034" s="13">
        <f t="shared" si="156"/>
        <v>21.333205040989913</v>
      </c>
      <c r="M1034" s="10">
        <f t="shared" si="157"/>
        <v>-3.666794959010087</v>
      </c>
      <c r="N1034" s="10">
        <f t="shared" si="155"/>
        <v>148.00255857428877</v>
      </c>
      <c r="P1034" s="13">
        <f t="shared" si="160"/>
        <v>12.918201775088182</v>
      </c>
      <c r="Q1034" s="13">
        <f t="shared" si="161"/>
        <v>0</v>
      </c>
    </row>
    <row r="1035" spans="9:17" ht="12.75">
      <c r="I1035" s="2">
        <f t="shared" si="159"/>
        <v>14685</v>
      </c>
      <c r="J1035" s="13">
        <f t="shared" si="158"/>
        <v>-8.42614580153521</v>
      </c>
      <c r="K1035" s="10">
        <f t="shared" si="154"/>
        <v>193.44685916618198</v>
      </c>
      <c r="L1035" s="13">
        <f t="shared" si="156"/>
        <v>21.35444655788408</v>
      </c>
      <c r="M1035" s="10">
        <f t="shared" si="157"/>
        <v>-3.9455534421159193</v>
      </c>
      <c r="N1035" s="10">
        <f t="shared" si="155"/>
        <v>147.8259960652478</v>
      </c>
      <c r="P1035" s="13">
        <f t="shared" si="160"/>
        <v>12.928300756348872</v>
      </c>
      <c r="Q1035" s="13">
        <f t="shared" si="161"/>
        <v>0</v>
      </c>
    </row>
    <row r="1036" spans="9:17" ht="12.75">
      <c r="I1036" s="2">
        <f t="shared" si="159"/>
        <v>14700</v>
      </c>
      <c r="J1036" s="13">
        <f t="shared" si="158"/>
        <v>-8.443488877480494</v>
      </c>
      <c r="K1036" s="10">
        <f t="shared" si="154"/>
        <v>193.3155025585482</v>
      </c>
      <c r="L1036" s="13">
        <f t="shared" si="156"/>
        <v>21.38188973409557</v>
      </c>
      <c r="M1036" s="10">
        <f t="shared" si="157"/>
        <v>-3.9181102659044313</v>
      </c>
      <c r="N1036" s="10">
        <f t="shared" si="155"/>
        <v>147.63601085388947</v>
      </c>
      <c r="P1036" s="13">
        <f t="shared" si="160"/>
        <v>12.938400856615075</v>
      </c>
      <c r="Q1036" s="13">
        <f t="shared" si="161"/>
        <v>0</v>
      </c>
    </row>
    <row r="1037" spans="9:17" ht="12.75">
      <c r="I1037" s="2">
        <f t="shared" si="159"/>
        <v>14715</v>
      </c>
      <c r="J1037" s="13">
        <f t="shared" si="158"/>
        <v>-8.460078349472301</v>
      </c>
      <c r="K1037" s="10">
        <f t="shared" si="154"/>
        <v>193.1838755867793</v>
      </c>
      <c r="L1037" s="13">
        <f t="shared" si="156"/>
        <v>21.408587812220276</v>
      </c>
      <c r="M1037" s="10">
        <f t="shared" si="157"/>
        <v>-3.891412187779725</v>
      </c>
      <c r="N1037" s="10">
        <f t="shared" si="155"/>
        <v>147.44734707885416</v>
      </c>
      <c r="P1037" s="13">
        <f t="shared" si="160"/>
        <v>12.948509462747975</v>
      </c>
      <c r="Q1037" s="13">
        <f t="shared" si="161"/>
        <v>0</v>
      </c>
    </row>
    <row r="1038" spans="9:17" ht="12.75">
      <c r="I1038" s="2">
        <f t="shared" si="159"/>
        <v>14730</v>
      </c>
      <c r="J1038" s="13">
        <f t="shared" si="158"/>
        <v>-8.475937469996131</v>
      </c>
      <c r="K1038" s="10">
        <f t="shared" si="154"/>
        <v>193.05198999893435</v>
      </c>
      <c r="L1038" s="13">
        <f t="shared" si="156"/>
        <v>21.43456308519454</v>
      </c>
      <c r="M1038" s="10">
        <f t="shared" si="157"/>
        <v>-3.8654369148054606</v>
      </c>
      <c r="N1038" s="10">
        <f t="shared" si="155"/>
        <v>147.25996886238238</v>
      </c>
      <c r="P1038" s="13">
        <f t="shared" si="160"/>
        <v>12.95862561519841</v>
      </c>
      <c r="Q1038" s="13">
        <f t="shared" si="161"/>
        <v>0</v>
      </c>
    </row>
    <row r="1039" spans="9:17" ht="12.75">
      <c r="I1039" s="2">
        <f t="shared" si="159"/>
        <v>14745</v>
      </c>
      <c r="J1039" s="13">
        <f t="shared" si="158"/>
        <v>-8.491088787214796</v>
      </c>
      <c r="K1039" s="10">
        <f aca="true" t="shared" si="162" ref="K1039:K1102">MAX(D$8,K1038+J1038*I$41/VLOOKUP(K1038,E$44:G$251,3,TRUE))</f>
        <v>192.91985718058555</v>
      </c>
      <c r="L1039" s="13">
        <f t="shared" si="156"/>
        <v>21.459837173817146</v>
      </c>
      <c r="M1039" s="10">
        <f t="shared" si="157"/>
        <v>-3.840162826182855</v>
      </c>
      <c r="N1039" s="10">
        <f aca="true" t="shared" si="163" ref="N1039:N1102">N1038+M1038*I$41/VLOOKUP(N1038,A$44:C$251,3,TRUE)</f>
        <v>147.07384140015802</v>
      </c>
      <c r="P1039" s="13">
        <f t="shared" si="160"/>
        <v>12.96874838660235</v>
      </c>
      <c r="Q1039" s="13">
        <f t="shared" si="161"/>
        <v>0</v>
      </c>
    </row>
    <row r="1040" spans="9:17" ht="12.75">
      <c r="I1040" s="2">
        <f t="shared" si="159"/>
        <v>14760</v>
      </c>
      <c r="J1040" s="13">
        <f t="shared" si="158"/>
        <v>-8.505554166259568</v>
      </c>
      <c r="K1040" s="10">
        <f t="shared" si="162"/>
        <v>192.78748816579798</v>
      </c>
      <c r="L1040" s="13">
        <f t="shared" si="156"/>
        <v>21.484431047038164</v>
      </c>
      <c r="M1040" s="10">
        <f t="shared" si="157"/>
        <v>-4.115568952961837</v>
      </c>
      <c r="N1040" s="10">
        <f t="shared" si="163"/>
        <v>146.88893092894372</v>
      </c>
      <c r="P1040" s="13">
        <f t="shared" si="160"/>
        <v>12.978876880778596</v>
      </c>
      <c r="Q1040" s="13">
        <f t="shared" si="161"/>
        <v>0</v>
      </c>
    </row>
    <row r="1041" spans="9:17" ht="12.75">
      <c r="I1041" s="2">
        <f t="shared" si="159"/>
        <v>14775</v>
      </c>
      <c r="J1041" s="13">
        <f t="shared" si="158"/>
        <v>-8.526116541724772</v>
      </c>
      <c r="K1041" s="10">
        <f t="shared" si="162"/>
        <v>192.65489364777747</v>
      </c>
      <c r="L1041" s="13">
        <f t="shared" si="156"/>
        <v>21.515126773481448</v>
      </c>
      <c r="M1041" s="10">
        <f t="shared" si="157"/>
        <v>-4.084873226518553</v>
      </c>
      <c r="N1041" s="10">
        <f t="shared" si="163"/>
        <v>146.69075917715801</v>
      </c>
      <c r="P1041" s="13">
        <f t="shared" si="160"/>
        <v>12.989010231756676</v>
      </c>
      <c r="Q1041" s="13">
        <f t="shared" si="161"/>
        <v>0</v>
      </c>
    </row>
    <row r="1042" spans="9:17" ht="12.75">
      <c r="I1042" s="2">
        <f t="shared" si="159"/>
        <v>14790</v>
      </c>
      <c r="J1042" s="13">
        <f t="shared" si="158"/>
        <v>-8.545824957011442</v>
      </c>
      <c r="K1042" s="10">
        <f t="shared" si="162"/>
        <v>192.5219785794188</v>
      </c>
      <c r="L1042" s="13">
        <f t="shared" si="156"/>
        <v>21.544980600848813</v>
      </c>
      <c r="M1042" s="10">
        <f t="shared" si="157"/>
        <v>-4.055019399151188</v>
      </c>
      <c r="N1042" s="10">
        <f t="shared" si="163"/>
        <v>146.49406547760543</v>
      </c>
      <c r="P1042" s="13">
        <f t="shared" si="160"/>
        <v>12.999155643837371</v>
      </c>
      <c r="Q1042" s="13">
        <f t="shared" si="161"/>
        <v>0</v>
      </c>
    </row>
    <row r="1043" spans="9:17" ht="12.75">
      <c r="I1043" s="2">
        <f t="shared" si="159"/>
        <v>14805</v>
      </c>
      <c r="J1043" s="13">
        <f t="shared" si="158"/>
        <v>-8.564705706294795</v>
      </c>
      <c r="K1043" s="10">
        <f t="shared" si="162"/>
        <v>192.38875627325118</v>
      </c>
      <c r="L1043" s="13">
        <f t="shared" si="156"/>
        <v>21.57401773618953</v>
      </c>
      <c r="M1043" s="10">
        <f t="shared" si="157"/>
        <v>-4.025982263810473</v>
      </c>
      <c r="N1043" s="10">
        <f t="shared" si="163"/>
        <v>146.29880929139173</v>
      </c>
      <c r="P1043" s="13">
        <f t="shared" si="160"/>
        <v>13.009312029894733</v>
      </c>
      <c r="Q1043" s="13">
        <f t="shared" si="161"/>
        <v>0</v>
      </c>
    </row>
    <row r="1044" spans="9:17" ht="12.75">
      <c r="I1044" s="2">
        <f t="shared" si="159"/>
        <v>14820</v>
      </c>
      <c r="J1044" s="13">
        <f t="shared" si="158"/>
        <v>-8.582784287528973</v>
      </c>
      <c r="K1044" s="10">
        <f t="shared" si="162"/>
        <v>192.25523963189949</v>
      </c>
      <c r="L1044" s="13">
        <f t="shared" si="156"/>
        <v>21.60226262653843</v>
      </c>
      <c r="M1044" s="10">
        <f t="shared" si="157"/>
        <v>-3.9977373734615718</v>
      </c>
      <c r="N1044" s="10">
        <f t="shared" si="163"/>
        <v>146.10495129338557</v>
      </c>
      <c r="P1044" s="13">
        <f t="shared" si="160"/>
        <v>13.019478339009456</v>
      </c>
      <c r="Q1044" s="13">
        <f t="shared" si="161"/>
        <v>0</v>
      </c>
    </row>
    <row r="1045" spans="9:17" ht="12.75">
      <c r="I1045" s="2">
        <f t="shared" si="159"/>
        <v>14835</v>
      </c>
      <c r="J1045" s="13">
        <f t="shared" si="158"/>
        <v>-8.600085426510912</v>
      </c>
      <c r="K1045" s="10">
        <f t="shared" si="162"/>
        <v>192.12144116049672</v>
      </c>
      <c r="L1045" s="13">
        <f t="shared" si="156"/>
        <v>21.629738981856004</v>
      </c>
      <c r="M1045" s="10">
        <f t="shared" si="157"/>
        <v>-4.270261018143994</v>
      </c>
      <c r="N1045" s="10">
        <f t="shared" si="163"/>
        <v>145.91245333562253</v>
      </c>
      <c r="P1045" s="13">
        <f t="shared" si="160"/>
        <v>13.029653555345092</v>
      </c>
      <c r="Q1045" s="13">
        <f t="shared" si="161"/>
        <v>0</v>
      </c>
    </row>
    <row r="1046" spans="9:17" ht="12.75">
      <c r="I1046" s="2">
        <f t="shared" si="159"/>
        <v>14850</v>
      </c>
      <c r="J1046" s="13">
        <f t="shared" si="158"/>
        <v>-8.623394832064204</v>
      </c>
      <c r="K1046" s="10">
        <f t="shared" si="162"/>
        <v>191.9873729787212</v>
      </c>
      <c r="L1046" s="13">
        <f t="shared" si="156"/>
        <v>21.66323152912215</v>
      </c>
      <c r="M1046" s="10">
        <f t="shared" si="157"/>
        <v>-4.236768470877848</v>
      </c>
      <c r="N1046" s="10">
        <f t="shared" si="163"/>
        <v>145.70683289377843</v>
      </c>
      <c r="P1046" s="13">
        <f t="shared" si="160"/>
        <v>13.039836697057947</v>
      </c>
      <c r="Q1046" s="13">
        <f t="shared" si="161"/>
        <v>0</v>
      </c>
    </row>
    <row r="1047" spans="9:17" ht="12.75">
      <c r="I1047" s="2">
        <f t="shared" si="159"/>
        <v>14865</v>
      </c>
      <c r="J1047" s="13">
        <f t="shared" si="158"/>
        <v>-8.64576428745589</v>
      </c>
      <c r="K1047" s="10">
        <f t="shared" si="162"/>
        <v>191.8529414226923</v>
      </c>
      <c r="L1047" s="13">
        <f t="shared" si="156"/>
        <v>21.69579909423403</v>
      </c>
      <c r="M1047" s="10">
        <f t="shared" si="157"/>
        <v>-4.204200905765969</v>
      </c>
      <c r="N1047" s="10">
        <f t="shared" si="163"/>
        <v>145.5028251759196</v>
      </c>
      <c r="P1047" s="13">
        <f t="shared" si="160"/>
        <v>13.05003480677814</v>
      </c>
      <c r="Q1047" s="13">
        <f t="shared" si="161"/>
        <v>0</v>
      </c>
    </row>
    <row r="1048" spans="9:17" ht="12.75">
      <c r="I1048" s="2">
        <f t="shared" si="159"/>
        <v>14880</v>
      </c>
      <c r="J1048" s="13">
        <f t="shared" si="158"/>
        <v>-8.667222694147174</v>
      </c>
      <c r="K1048" s="10">
        <f t="shared" si="162"/>
        <v>191.7181611454516</v>
      </c>
      <c r="L1048" s="13">
        <f t="shared" si="156"/>
        <v>21.72746938433313</v>
      </c>
      <c r="M1048" s="10">
        <f t="shared" si="157"/>
        <v>-4.172530615666869</v>
      </c>
      <c r="N1048" s="10">
        <f t="shared" si="163"/>
        <v>145.3003856425581</v>
      </c>
      <c r="P1048" s="13">
        <f t="shared" si="160"/>
        <v>13.060246690185956</v>
      </c>
      <c r="Q1048" s="13">
        <f t="shared" si="161"/>
        <v>0</v>
      </c>
    </row>
    <row r="1049" spans="9:17" ht="12.75">
      <c r="I1049" s="2">
        <f t="shared" si="159"/>
        <v>14895</v>
      </c>
      <c r="J1049" s="13">
        <f t="shared" si="158"/>
        <v>-8.687798078613298</v>
      </c>
      <c r="K1049" s="10">
        <f t="shared" si="162"/>
        <v>191.5830463494909</v>
      </c>
      <c r="L1049" s="13">
        <f t="shared" si="156"/>
        <v>21.758269271171105</v>
      </c>
      <c r="M1049" s="10">
        <f t="shared" si="157"/>
        <v>-4.141730728828893</v>
      </c>
      <c r="N1049" s="10">
        <f t="shared" si="163"/>
        <v>145.09947108835263</v>
      </c>
      <c r="P1049" s="13">
        <f t="shared" si="160"/>
        <v>13.070471192557807</v>
      </c>
      <c r="Q1049" s="13">
        <f t="shared" si="161"/>
        <v>0</v>
      </c>
    </row>
    <row r="1050" spans="9:17" ht="12.75">
      <c r="I1050" s="2">
        <f t="shared" si="159"/>
        <v>14910</v>
      </c>
      <c r="J1050" s="13">
        <f t="shared" si="158"/>
        <v>-8.707517618783083</v>
      </c>
      <c r="K1050" s="10">
        <f t="shared" si="162"/>
        <v>191.4476108003925</v>
      </c>
      <c r="L1050" s="13">
        <f t="shared" si="156"/>
        <v>21.78822481632353</v>
      </c>
      <c r="M1050" s="10">
        <f t="shared" si="157"/>
        <v>-4.411775183676468</v>
      </c>
      <c r="N1050" s="10">
        <f t="shared" si="163"/>
        <v>144.90003960188315</v>
      </c>
      <c r="P1050" s="13">
        <f t="shared" si="160"/>
        <v>13.080707197540448</v>
      </c>
      <c r="Q1050" s="13">
        <f t="shared" si="161"/>
        <v>0</v>
      </c>
    </row>
    <row r="1051" spans="9:17" ht="12.75">
      <c r="I1051" s="2">
        <f t="shared" si="159"/>
        <v>14925</v>
      </c>
      <c r="J1051" s="13">
        <f t="shared" si="158"/>
        <v>-8.733169401527144</v>
      </c>
      <c r="K1051" s="10">
        <f t="shared" si="162"/>
        <v>191.31186784005752</v>
      </c>
      <c r="L1051" s="13">
        <f t="shared" si="156"/>
        <v>21.824123027488785</v>
      </c>
      <c r="M1051" s="10">
        <f t="shared" si="157"/>
        <v>-4.3758769725112145</v>
      </c>
      <c r="N1051" s="10">
        <f t="shared" si="163"/>
        <v>144.6876050086042</v>
      </c>
      <c r="P1051" s="13">
        <f t="shared" si="160"/>
        <v>13.09095362596164</v>
      </c>
      <c r="Q1051" s="13">
        <f t="shared" si="161"/>
        <v>0</v>
      </c>
    </row>
    <row r="1052" spans="9:17" ht="12.75">
      <c r="I1052" s="2">
        <f t="shared" si="159"/>
        <v>14940</v>
      </c>
      <c r="J1052" s="13">
        <f t="shared" si="158"/>
        <v>-8.757807566028946</v>
      </c>
      <c r="K1052" s="10">
        <f t="shared" si="162"/>
        <v>191.17572498975616</v>
      </c>
      <c r="L1052" s="13">
        <f t="shared" si="156"/>
        <v>21.85902494252439</v>
      </c>
      <c r="M1052" s="10">
        <f t="shared" si="157"/>
        <v>-4.34097505747561</v>
      </c>
      <c r="N1052" s="10">
        <f t="shared" si="163"/>
        <v>144.47689897618133</v>
      </c>
      <c r="P1052" s="13">
        <f t="shared" si="160"/>
        <v>13.101217376495443</v>
      </c>
      <c r="Q1052" s="13">
        <f t="shared" si="161"/>
        <v>0</v>
      </c>
    </row>
    <row r="1053" spans="9:17" ht="12.75">
      <c r="I1053" s="2">
        <f t="shared" si="159"/>
        <v>14955</v>
      </c>
      <c r="J1053" s="13">
        <f t="shared" si="158"/>
        <v>-8.781463248472377</v>
      </c>
      <c r="K1053" s="10">
        <f t="shared" si="162"/>
        <v>191.03919805095416</v>
      </c>
      <c r="L1053" s="13">
        <f t="shared" si="156"/>
        <v>21.89296041348532</v>
      </c>
      <c r="M1053" s="10">
        <f t="shared" si="157"/>
        <v>-4.30703958651468</v>
      </c>
      <c r="N1053" s="10">
        <f t="shared" si="163"/>
        <v>144.26787353123552</v>
      </c>
      <c r="P1053" s="13">
        <f t="shared" si="160"/>
        <v>13.111497165012942</v>
      </c>
      <c r="Q1053" s="13">
        <f t="shared" si="161"/>
        <v>0</v>
      </c>
    </row>
    <row r="1054" spans="9:17" ht="12.75">
      <c r="I1054" s="2">
        <f t="shared" si="159"/>
        <v>14970</v>
      </c>
      <c r="J1054" s="13">
        <f t="shared" si="158"/>
        <v>-8.804166642550847</v>
      </c>
      <c r="K1054" s="10">
        <f t="shared" si="162"/>
        <v>190.90230233972994</v>
      </c>
      <c r="L1054" s="13">
        <f t="shared" si="156"/>
        <v>21.925958392385386</v>
      </c>
      <c r="M1054" s="10">
        <f t="shared" si="157"/>
        <v>-4.274041607614613</v>
      </c>
      <c r="N1054" s="10">
        <f t="shared" si="163"/>
        <v>144.0604821378157</v>
      </c>
      <c r="P1054" s="13">
        <f t="shared" si="160"/>
        <v>13.12179174983454</v>
      </c>
      <c r="Q1054" s="13">
        <f t="shared" si="161"/>
        <v>0</v>
      </c>
    </row>
    <row r="1055" spans="9:17" ht="12.75">
      <c r="I1055" s="2">
        <f t="shared" si="159"/>
        <v>14985</v>
      </c>
      <c r="J1055" s="13">
        <f t="shared" si="158"/>
        <v>-8.825947027942371</v>
      </c>
      <c r="K1055" s="10">
        <f t="shared" si="162"/>
        <v>190.76505270146743</v>
      </c>
      <c r="L1055" s="13">
        <f t="shared" si="156"/>
        <v>21.958046958360768</v>
      </c>
      <c r="M1055" s="10">
        <f t="shared" si="157"/>
        <v>-4.541953041639232</v>
      </c>
      <c r="N1055" s="10">
        <f t="shared" si="163"/>
        <v>143.85467965406033</v>
      </c>
      <c r="P1055" s="13">
        <f t="shared" si="160"/>
        <v>13.132099930418397</v>
      </c>
      <c r="Q1055" s="13">
        <f t="shared" si="161"/>
        <v>0</v>
      </c>
    </row>
    <row r="1056" spans="9:17" ht="12.75">
      <c r="I1056" s="2">
        <f t="shared" si="159"/>
        <v>15000</v>
      </c>
      <c r="J1056" s="13">
        <f t="shared" si="158"/>
        <v>-8.853594529772055</v>
      </c>
      <c r="K1056" s="10">
        <f t="shared" si="162"/>
        <v>190.62746352510464</v>
      </c>
      <c r="L1056" s="13">
        <f t="shared" si="156"/>
        <v>21.996015075859837</v>
      </c>
      <c r="M1056" s="10">
        <f t="shared" si="157"/>
        <v>-4.503984924140163</v>
      </c>
      <c r="N1056" s="10">
        <f t="shared" si="163"/>
        <v>143.63597677213136</v>
      </c>
      <c r="P1056" s="13">
        <f t="shared" si="160"/>
        <v>13.142420546087783</v>
      </c>
      <c r="Q1056" s="13">
        <f t="shared" si="161"/>
        <v>0</v>
      </c>
    </row>
    <row r="1057" spans="9:17" ht="12.75">
      <c r="I1057" s="2">
        <f t="shared" si="159"/>
        <v>15015</v>
      </c>
      <c r="J1057" s="13">
        <f t="shared" si="158"/>
        <v>-8.880165313925051</v>
      </c>
      <c r="K1057" s="10">
        <f t="shared" si="162"/>
        <v>190.4894433471742</v>
      </c>
      <c r="L1057" s="13">
        <f t="shared" si="156"/>
        <v>22.032925680513447</v>
      </c>
      <c r="M1057" s="10">
        <f t="shared" si="157"/>
        <v>-4.467074319486553</v>
      </c>
      <c r="N1057" s="10">
        <f t="shared" si="163"/>
        <v>143.41910212062274</v>
      </c>
      <c r="P1057" s="13">
        <f t="shared" si="160"/>
        <v>13.152760366588396</v>
      </c>
      <c r="Q1057" s="13">
        <f t="shared" si="161"/>
        <v>0</v>
      </c>
    </row>
    <row r="1058" spans="9:17" ht="12.75">
      <c r="I1058" s="2">
        <f t="shared" si="159"/>
        <v>15030</v>
      </c>
      <c r="J1058" s="13">
        <f t="shared" si="158"/>
        <v>-8.905692431761498</v>
      </c>
      <c r="K1058" s="10">
        <f t="shared" si="162"/>
        <v>190.35100895280948</v>
      </c>
      <c r="L1058" s="13">
        <f t="shared" si="156"/>
        <v>22.06881046458685</v>
      </c>
      <c r="M1058" s="10">
        <f t="shared" si="157"/>
        <v>-4.43118953541315</v>
      </c>
      <c r="N1058" s="10">
        <f t="shared" si="163"/>
        <v>143.20400477846485</v>
      </c>
      <c r="P1058" s="13">
        <f t="shared" si="160"/>
        <v>13.163118032825352</v>
      </c>
      <c r="Q1058" s="13">
        <f t="shared" si="161"/>
        <v>0</v>
      </c>
    </row>
    <row r="1059" spans="9:17" ht="12.75">
      <c r="I1059" s="2">
        <f t="shared" si="159"/>
        <v>15045</v>
      </c>
      <c r="J1059" s="13">
        <f t="shared" si="158"/>
        <v>-8.930207934302052</v>
      </c>
      <c r="K1059" s="10">
        <f t="shared" si="162"/>
        <v>190.21217661190067</v>
      </c>
      <c r="L1059" s="13">
        <f t="shared" si="156"/>
        <v>22.103700164852267</v>
      </c>
      <c r="M1059" s="10">
        <f t="shared" si="157"/>
        <v>-4.696299835147734</v>
      </c>
      <c r="N1059" s="10">
        <f t="shared" si="163"/>
        <v>142.99063535062538</v>
      </c>
      <c r="P1059" s="13">
        <f t="shared" si="160"/>
        <v>13.173492230550215</v>
      </c>
      <c r="Q1059" s="13">
        <f t="shared" si="161"/>
        <v>0</v>
      </c>
    </row>
    <row r="1060" spans="9:17" ht="12.75">
      <c r="I1060" s="2">
        <f t="shared" si="159"/>
        <v>15060</v>
      </c>
      <c r="J1060" s="13">
        <f t="shared" si="158"/>
        <v>-8.960504634293326</v>
      </c>
      <c r="K1060" s="10">
        <f t="shared" si="162"/>
        <v>190.07296209468922</v>
      </c>
      <c r="L1060" s="13">
        <f t="shared" si="156"/>
        <v>22.144386323270755</v>
      </c>
      <c r="M1060" s="10">
        <f t="shared" si="157"/>
        <v>-4.655613676729246</v>
      </c>
      <c r="N1060" s="10">
        <f t="shared" si="163"/>
        <v>142.76450040406533</v>
      </c>
      <c r="P1060" s="13">
        <f t="shared" si="160"/>
        <v>13.18388168897743</v>
      </c>
      <c r="Q1060" s="13">
        <f t="shared" si="161"/>
        <v>0</v>
      </c>
    </row>
    <row r="1061" spans="9:17" ht="12.75">
      <c r="I1061" s="2">
        <f t="shared" si="159"/>
        <v>15075</v>
      </c>
      <c r="J1061" s="13">
        <f t="shared" si="158"/>
        <v>-8.989641344324108</v>
      </c>
      <c r="K1061" s="10">
        <f t="shared" si="162"/>
        <v>189.93327527711324</v>
      </c>
      <c r="L1061" s="13">
        <f t="shared" si="156"/>
        <v>22.183934375279257</v>
      </c>
      <c r="M1061" s="10">
        <f t="shared" si="157"/>
        <v>-4.616065624720743</v>
      </c>
      <c r="N1061" s="10">
        <f t="shared" si="163"/>
        <v>142.54032456628937</v>
      </c>
      <c r="P1061" s="13">
        <f t="shared" si="160"/>
        <v>13.19429303095515</v>
      </c>
      <c r="Q1061" s="13">
        <f t="shared" si="161"/>
        <v>0</v>
      </c>
    </row>
    <row r="1062" spans="9:17" ht="12.75">
      <c r="I1062" s="2">
        <f t="shared" si="159"/>
        <v>15090</v>
      </c>
      <c r="J1062" s="13">
        <f t="shared" si="158"/>
        <v>-9.017653642034013</v>
      </c>
      <c r="K1062" s="10">
        <f t="shared" si="162"/>
        <v>189.79313424245186</v>
      </c>
      <c r="L1062" s="13">
        <f t="shared" si="156"/>
        <v>22.222378437292605</v>
      </c>
      <c r="M1062" s="10">
        <f t="shared" si="157"/>
        <v>-4.577621562707396</v>
      </c>
      <c r="N1062" s="10">
        <f t="shared" si="163"/>
        <v>142.31805303550857</v>
      </c>
      <c r="P1062" s="13">
        <f t="shared" si="160"/>
        <v>13.204724795258592</v>
      </c>
      <c r="Q1062" s="13">
        <f t="shared" si="161"/>
        <v>0</v>
      </c>
    </row>
    <row r="1063" spans="9:17" ht="12.75">
      <c r="I1063" s="2">
        <f t="shared" si="159"/>
        <v>15105</v>
      </c>
      <c r="J1063" s="13">
        <f t="shared" si="158"/>
        <v>-9.044576028412983</v>
      </c>
      <c r="K1063" s="10">
        <f t="shared" si="162"/>
        <v>189.6525565193583</v>
      </c>
      <c r="L1063" s="13">
        <f t="shared" si="156"/>
        <v>22.25975159715999</v>
      </c>
      <c r="M1063" s="10">
        <f t="shared" si="157"/>
        <v>-4.54024840284001</v>
      </c>
      <c r="N1063" s="10">
        <f t="shared" si="163"/>
        <v>142.09763265269834</v>
      </c>
      <c r="P1063" s="13">
        <f t="shared" si="160"/>
        <v>13.215175568747007</v>
      </c>
      <c r="Q1063" s="13">
        <f t="shared" si="161"/>
        <v>0</v>
      </c>
    </row>
    <row r="1064" spans="9:17" ht="12.75">
      <c r="I1064" s="2">
        <f t="shared" si="159"/>
        <v>15120</v>
      </c>
      <c r="J1064" s="13">
        <f t="shared" si="158"/>
        <v>-9.070441960320856</v>
      </c>
      <c r="K1064" s="10">
        <f t="shared" si="162"/>
        <v>189.5115590986441</v>
      </c>
      <c r="L1064" s="13">
        <f t="shared" si="156"/>
        <v>22.29608594520439</v>
      </c>
      <c r="M1064" s="10">
        <f t="shared" si="157"/>
        <v>-4.803914054795612</v>
      </c>
      <c r="N1064" s="10">
        <f t="shared" si="163"/>
        <v>141.8790118520711</v>
      </c>
      <c r="P1064" s="13">
        <f t="shared" si="160"/>
        <v>13.225643984883533</v>
      </c>
      <c r="Q1064" s="13">
        <f t="shared" si="161"/>
        <v>0</v>
      </c>
    </row>
    <row r="1065" spans="9:17" ht="12.75">
      <c r="I1065" s="2">
        <f t="shared" si="159"/>
        <v>15135</v>
      </c>
      <c r="J1065" s="13">
        <f t="shared" si="158"/>
        <v>-9.102045613872738</v>
      </c>
      <c r="K1065" s="10">
        <f t="shared" si="162"/>
        <v>189.37015844955616</v>
      </c>
      <c r="L1065" s="13">
        <f t="shared" si="156"/>
        <v>22.338174336171264</v>
      </c>
      <c r="M1065" s="10">
        <f t="shared" si="157"/>
        <v>-4.761825663828738</v>
      </c>
      <c r="N1065" s="10">
        <f t="shared" si="163"/>
        <v>141.64769509500846</v>
      </c>
      <c r="P1065" s="13">
        <f t="shared" si="160"/>
        <v>13.236128722298526</v>
      </c>
      <c r="Q1065" s="13">
        <f t="shared" si="161"/>
        <v>0</v>
      </c>
    </row>
    <row r="1066" spans="9:17" ht="12.75">
      <c r="I1066" s="2">
        <f t="shared" si="159"/>
        <v>15150</v>
      </c>
      <c r="J1066" s="13">
        <f t="shared" si="158"/>
        <v>-9.132447174555725</v>
      </c>
      <c r="K1066" s="10">
        <f t="shared" si="162"/>
        <v>189.22826512578428</v>
      </c>
      <c r="L1066" s="13">
        <f t="shared" si="156"/>
        <v>22.379083478744437</v>
      </c>
      <c r="M1066" s="10">
        <f t="shared" si="157"/>
        <v>-4.720916521255564</v>
      </c>
      <c r="N1066" s="10">
        <f t="shared" si="163"/>
        <v>141.41840496664844</v>
      </c>
      <c r="P1066" s="13">
        <f t="shared" si="160"/>
        <v>13.246636304188712</v>
      </c>
      <c r="Q1066" s="13">
        <f t="shared" si="161"/>
        <v>0</v>
      </c>
    </row>
    <row r="1067" spans="9:17" ht="12.75">
      <c r="I1067" s="2">
        <f t="shared" si="159"/>
        <v>15165</v>
      </c>
      <c r="J1067" s="13">
        <f t="shared" si="158"/>
        <v>-9.161683500489099</v>
      </c>
      <c r="K1067" s="10">
        <f t="shared" si="162"/>
        <v>189.0858978669569</v>
      </c>
      <c r="L1067" s="13">
        <f t="shared" si="156"/>
        <v>22.4188487238696</v>
      </c>
      <c r="M1067" s="10">
        <f t="shared" si="157"/>
        <v>-4.6811512761304</v>
      </c>
      <c r="N1067" s="10">
        <f t="shared" si="163"/>
        <v>141.19108468414458</v>
      </c>
      <c r="P1067" s="13">
        <f t="shared" si="160"/>
        <v>13.257165223380502</v>
      </c>
      <c r="Q1067" s="13">
        <f t="shared" si="161"/>
        <v>0</v>
      </c>
    </row>
    <row r="1068" spans="9:17" ht="12.75">
      <c r="I1068" s="2">
        <f t="shared" si="159"/>
        <v>15180</v>
      </c>
      <c r="J1068" s="13">
        <f t="shared" si="158"/>
        <v>-9.189790334463718</v>
      </c>
      <c r="K1068" s="10">
        <f t="shared" si="162"/>
        <v>188.94307483811502</v>
      </c>
      <c r="L1068" s="13">
        <f aca="true" t="shared" si="164" ref="L1068:L1131">(K1068-N1068)/D$12</f>
        <v>22.45750435675789</v>
      </c>
      <c r="M1068" s="10">
        <f t="shared" si="157"/>
        <v>-4.942495643242108</v>
      </c>
      <c r="N1068" s="10">
        <f t="shared" si="163"/>
        <v>140.96567916685953</v>
      </c>
      <c r="P1068" s="13">
        <f t="shared" si="160"/>
        <v>13.267714022294173</v>
      </c>
      <c r="Q1068" s="13">
        <f t="shared" si="161"/>
        <v>0</v>
      </c>
    </row>
    <row r="1069" spans="9:17" ht="12.75">
      <c r="I1069" s="2">
        <f t="shared" si="159"/>
        <v>15195</v>
      </c>
      <c r="J1069" s="13">
        <f t="shared" si="158"/>
        <v>-9.223564069473522</v>
      </c>
      <c r="K1069" s="10">
        <f t="shared" si="162"/>
        <v>188.7998136470992</v>
      </c>
      <c r="L1069" s="13">
        <f t="shared" si="164"/>
        <v>22.501845360891576</v>
      </c>
      <c r="M1069" s="10">
        <f t="shared" si="157"/>
        <v>-4.898154639108423</v>
      </c>
      <c r="N1069" s="10">
        <f t="shared" si="163"/>
        <v>140.72768946701265</v>
      </c>
      <c r="P1069" s="13">
        <f t="shared" si="160"/>
        <v>13.278281291418054</v>
      </c>
      <c r="Q1069" s="13">
        <f t="shared" si="161"/>
        <v>0</v>
      </c>
    </row>
    <row r="1070" spans="9:17" ht="12.75">
      <c r="I1070" s="2">
        <f t="shared" si="159"/>
        <v>15210</v>
      </c>
      <c r="J1070" s="13">
        <f t="shared" si="158"/>
        <v>-9.256067081805192</v>
      </c>
      <c r="K1070" s="10">
        <f t="shared" si="162"/>
        <v>188.65602595163372</v>
      </c>
      <c r="L1070" s="13">
        <f t="shared" si="164"/>
        <v>22.544940509534783</v>
      </c>
      <c r="M1070" s="10">
        <f aca="true" t="shared" si="165" ref="M1070:M1133">L1070-VLOOKUP(N1070,A$44:C$251,2,TRUE)</f>
        <v>-4.855059490465216</v>
      </c>
      <c r="N1070" s="10">
        <f t="shared" si="163"/>
        <v>140.49183486308215</v>
      </c>
      <c r="P1070" s="13">
        <f t="shared" si="160"/>
        <v>13.288873427729591</v>
      </c>
      <c r="Q1070" s="13">
        <f t="shared" si="161"/>
        <v>0</v>
      </c>
    </row>
    <row r="1071" spans="9:17" ht="12.75">
      <c r="I1071" s="2">
        <f t="shared" si="159"/>
        <v>15225</v>
      </c>
      <c r="J1071" s="13">
        <f t="shared" si="158"/>
        <v>-9.287338313146474</v>
      </c>
      <c r="K1071" s="10">
        <f t="shared" si="162"/>
        <v>188.51173156122866</v>
      </c>
      <c r="L1071" s="13">
        <f t="shared" si="164"/>
        <v>22.586827155693264</v>
      </c>
      <c r="M1071" s="10">
        <f t="shared" si="165"/>
        <v>-4.8131728443067345</v>
      </c>
      <c r="N1071" s="10">
        <f t="shared" si="163"/>
        <v>140.25805536497487</v>
      </c>
      <c r="P1071" s="13">
        <f t="shared" si="160"/>
        <v>13.29948884254679</v>
      </c>
      <c r="Q1071" s="13">
        <f t="shared" si="161"/>
        <v>0</v>
      </c>
    </row>
    <row r="1072" spans="9:17" ht="12.75">
      <c r="I1072" s="2">
        <f t="shared" si="159"/>
        <v>15240</v>
      </c>
      <c r="J1072" s="13">
        <f t="shared" si="158"/>
        <v>-9.317415526921614</v>
      </c>
      <c r="K1072" s="10">
        <f t="shared" si="162"/>
        <v>188.36694967832557</v>
      </c>
      <c r="L1072" s="13">
        <f t="shared" si="164"/>
        <v>22.627541526309734</v>
      </c>
      <c r="M1072" s="10">
        <f t="shared" si="165"/>
        <v>-4.772458473690264</v>
      </c>
      <c r="N1072" s="10">
        <f t="shared" si="163"/>
        <v>140.02629278120932</v>
      </c>
      <c r="P1072" s="13">
        <f t="shared" si="160"/>
        <v>13.31012599938812</v>
      </c>
      <c r="Q1072" s="13">
        <f t="shared" si="161"/>
        <v>0</v>
      </c>
    </row>
    <row r="1073" spans="9:17" ht="12.75">
      <c r="I1073" s="2">
        <f t="shared" si="159"/>
        <v>15255</v>
      </c>
      <c r="J1073" s="13">
        <f t="shared" si="158"/>
        <v>-9.346335343873042</v>
      </c>
      <c r="K1073" s="10">
        <f t="shared" si="162"/>
        <v>188.22169891666562</v>
      </c>
      <c r="L1073" s="13">
        <f t="shared" si="164"/>
        <v>22.667118756242086</v>
      </c>
      <c r="M1073" s="10">
        <f t="shared" si="165"/>
        <v>-5.032881243757913</v>
      </c>
      <c r="N1073" s="10">
        <f t="shared" si="163"/>
        <v>139.7964906646939</v>
      </c>
      <c r="P1073" s="13">
        <f t="shared" si="160"/>
        <v>13.320783412369044</v>
      </c>
      <c r="Q1073" s="13">
        <f t="shared" si="161"/>
        <v>0</v>
      </c>
    </row>
    <row r="1074" spans="9:17" ht="12.75">
      <c r="I1074" s="2">
        <f t="shared" si="159"/>
        <v>15270</v>
      </c>
      <c r="J1074" s="13">
        <f t="shared" si="158"/>
        <v>-9.38089500841718</v>
      </c>
      <c r="K1074" s="10">
        <f t="shared" si="162"/>
        <v>188.07599731910304</v>
      </c>
      <c r="L1074" s="13">
        <f t="shared" si="164"/>
        <v>22.712354653062572</v>
      </c>
      <c r="M1074" s="10">
        <f t="shared" si="165"/>
        <v>-4.987645346937427</v>
      </c>
      <c r="N1074" s="10">
        <f t="shared" si="163"/>
        <v>139.55414874210572</v>
      </c>
      <c r="P1074" s="13">
        <f t="shared" si="160"/>
        <v>13.331459644645392</v>
      </c>
      <c r="Q1074" s="13">
        <f t="shared" si="161"/>
        <v>0</v>
      </c>
    </row>
    <row r="1075" spans="9:17" ht="12.75">
      <c r="I1075" s="2">
        <f t="shared" si="159"/>
        <v>15285</v>
      </c>
      <c r="J1075" s="13">
        <f t="shared" si="158"/>
        <v>-9.414157774075777</v>
      </c>
      <c r="K1075" s="10">
        <f t="shared" si="162"/>
        <v>187.92975696510277</v>
      </c>
      <c r="L1075" s="13">
        <f t="shared" si="164"/>
        <v>22.756318789338188</v>
      </c>
      <c r="M1075" s="10">
        <f t="shared" si="165"/>
        <v>-4.943681210661811</v>
      </c>
      <c r="N1075" s="10">
        <f t="shared" si="163"/>
        <v>139.3139850060621</v>
      </c>
      <c r="P1075" s="13">
        <f t="shared" si="160"/>
        <v>13.34216101526241</v>
      </c>
      <c r="Q1075" s="13">
        <f t="shared" si="161"/>
        <v>0</v>
      </c>
    </row>
    <row r="1076" spans="9:17" ht="12.75">
      <c r="I1076" s="2">
        <f t="shared" si="159"/>
        <v>15300</v>
      </c>
      <c r="J1076" s="13">
        <f t="shared" si="158"/>
        <v>-9.446163381526196</v>
      </c>
      <c r="K1076" s="10">
        <f t="shared" si="162"/>
        <v>187.78299807224022</v>
      </c>
      <c r="L1076" s="13">
        <f t="shared" si="164"/>
        <v>22.799049292960778</v>
      </c>
      <c r="M1076" s="10">
        <f t="shared" si="165"/>
        <v>-4.900950707039222</v>
      </c>
      <c r="N1076" s="10">
        <f t="shared" si="163"/>
        <v>139.07593821909674</v>
      </c>
      <c r="P1076" s="13">
        <f t="shared" si="160"/>
        <v>13.352885911434582</v>
      </c>
      <c r="Q1076" s="13">
        <f t="shared" si="161"/>
        <v>0</v>
      </c>
    </row>
    <row r="1077" spans="9:17" ht="12.75">
      <c r="I1077" s="2">
        <f t="shared" si="159"/>
        <v>15315</v>
      </c>
      <c r="J1077" s="13">
        <f t="shared" si="158"/>
        <v>-9.476950369041477</v>
      </c>
      <c r="K1077" s="10">
        <f t="shared" si="162"/>
        <v>187.63574023856665</v>
      </c>
      <c r="L1077" s="13">
        <f t="shared" si="164"/>
        <v>22.840583142463583</v>
      </c>
      <c r="M1077" s="10">
        <f t="shared" si="165"/>
        <v>-5.159416857536417</v>
      </c>
      <c r="N1077" s="10">
        <f t="shared" si="163"/>
        <v>138.83994897966718</v>
      </c>
      <c r="P1077" s="13">
        <f t="shared" si="160"/>
        <v>13.363632773422106</v>
      </c>
      <c r="Q1077" s="13">
        <f t="shared" si="161"/>
        <v>0</v>
      </c>
    </row>
    <row r="1078" spans="9:17" ht="12.75">
      <c r="I1078" s="2">
        <f t="shared" si="159"/>
        <v>15330</v>
      </c>
      <c r="J1078" s="13">
        <f t="shared" si="158"/>
        <v>-9.513317840645817</v>
      </c>
      <c r="K1078" s="10">
        <f t="shared" si="162"/>
        <v>187.48800246135372</v>
      </c>
      <c r="L1078" s="13">
        <f t="shared" si="164"/>
        <v>22.88771793354709</v>
      </c>
      <c r="M1078" s="10">
        <f t="shared" si="165"/>
        <v>-5.112282066452909</v>
      </c>
      <c r="N1078" s="10">
        <f t="shared" si="163"/>
        <v>138.59151414877584</v>
      </c>
      <c r="P1078" s="13">
        <f t="shared" si="160"/>
        <v>13.374400092901274</v>
      </c>
      <c r="Q1078" s="13">
        <f t="shared" si="161"/>
        <v>0</v>
      </c>
    </row>
    <row r="1079" spans="9:17" ht="12.75">
      <c r="I1079" s="2">
        <f t="shared" si="159"/>
        <v>15345</v>
      </c>
      <c r="J1079" s="13">
        <f t="shared" si="158"/>
        <v>-9.548330894874777</v>
      </c>
      <c r="K1079" s="10">
        <f t="shared" si="162"/>
        <v>187.33969774549402</v>
      </c>
      <c r="L1079" s="13">
        <f t="shared" si="164"/>
        <v>22.933524973034025</v>
      </c>
      <c r="M1079" s="10">
        <f t="shared" si="165"/>
        <v>-5.066475026965975</v>
      </c>
      <c r="N1079" s="10">
        <f t="shared" si="163"/>
        <v>138.3453489394668</v>
      </c>
      <c r="P1079" s="13">
        <f t="shared" si="160"/>
        <v>13.385194078159248</v>
      </c>
      <c r="Q1079" s="13">
        <f t="shared" si="161"/>
        <v>0</v>
      </c>
    </row>
    <row r="1080" spans="9:17" ht="12.75">
      <c r="I1080" s="2">
        <f t="shared" si="159"/>
        <v>15360</v>
      </c>
      <c r="J1080" s="13">
        <f aca="true" t="shared" si="166" ref="J1080:J1143">(D$7-K1080)*(1/D$13+1/D$14)+D$16*(D$19*D$21*D$17+D$20*D$22*D$18)*(D$7^4-K1080^4)-(K1080-N1080)/D$12</f>
        <v>-9.582031019956565</v>
      </c>
      <c r="K1080" s="10">
        <f t="shared" si="162"/>
        <v>187.19084720522838</v>
      </c>
      <c r="L1080" s="13">
        <f t="shared" si="164"/>
        <v>22.978044070520212</v>
      </c>
      <c r="M1080" s="10">
        <f t="shared" si="165"/>
        <v>-5.0219559294797875</v>
      </c>
      <c r="N1080" s="10">
        <f t="shared" si="163"/>
        <v>138.10138941820793</v>
      </c>
      <c r="P1080" s="13">
        <f t="shared" si="160"/>
        <v>13.396013050563647</v>
      </c>
      <c r="Q1080" s="13">
        <f t="shared" si="161"/>
        <v>0</v>
      </c>
    </row>
    <row r="1081" spans="9:17" ht="12.75">
      <c r="I1081" s="2">
        <f aca="true" t="shared" si="167" ref="I1081:I1144">I1080+I$41</f>
        <v>15375</v>
      </c>
      <c r="J1081" s="13">
        <f t="shared" si="166"/>
        <v>-9.614458448928918</v>
      </c>
      <c r="K1081" s="10">
        <f t="shared" si="162"/>
        <v>187.04147130803065</v>
      </c>
      <c r="L1081" s="13">
        <f t="shared" si="164"/>
        <v>23.021313835586824</v>
      </c>
      <c r="M1081" s="10">
        <f t="shared" si="165"/>
        <v>-5.278686164413177</v>
      </c>
      <c r="N1081" s="10">
        <f t="shared" si="163"/>
        <v>137.8595735683679</v>
      </c>
      <c r="P1081" s="13">
        <f aca="true" t="shared" si="168" ref="P1081:P1144">(D$7-K1081)*(1/D$13+1/D$14)+D$16*(D$19*D$21*D$17+D$20*D$22*D$18)*(D$7^4-K1081^4)</f>
        <v>13.406855386657906</v>
      </c>
      <c r="Q1081" s="13">
        <f aca="true" t="shared" si="169" ref="Q1081:Q1144">IF(K1081=D$8,-J1081,0)</f>
        <v>0</v>
      </c>
    </row>
    <row r="1082" spans="9:17" ht="12.75">
      <c r="I1082" s="2">
        <f t="shared" si="167"/>
        <v>15390</v>
      </c>
      <c r="J1082" s="13">
        <f t="shared" si="166"/>
        <v>-9.652413929385038</v>
      </c>
      <c r="K1082" s="10">
        <f t="shared" si="162"/>
        <v>186.8915898941751</v>
      </c>
      <c r="L1082" s="13">
        <f t="shared" si="164"/>
        <v>23.07013344585309</v>
      </c>
      <c r="M1082" s="10">
        <f t="shared" si="165"/>
        <v>-5.229866554146909</v>
      </c>
      <c r="N1082" s="10">
        <f t="shared" si="163"/>
        <v>137.60539571439804</v>
      </c>
      <c r="P1082" s="13">
        <f t="shared" si="168"/>
        <v>13.417719516468054</v>
      </c>
      <c r="Q1082" s="13">
        <f t="shared" si="169"/>
        <v>0</v>
      </c>
    </row>
    <row r="1083" spans="9:17" ht="12.75">
      <c r="I1083" s="2">
        <f t="shared" si="167"/>
        <v>15405</v>
      </c>
      <c r="J1083" s="13">
        <f t="shared" si="166"/>
        <v>-9.688964195693565</v>
      </c>
      <c r="K1083" s="10">
        <f t="shared" si="162"/>
        <v>186.74111678593502</v>
      </c>
      <c r="L1083" s="13">
        <f t="shared" si="164"/>
        <v>23.11757574241222</v>
      </c>
      <c r="M1083" s="10">
        <f t="shared" si="165"/>
        <v>-5.18242425758778</v>
      </c>
      <c r="N1083" s="10">
        <f t="shared" si="163"/>
        <v>137.35356860896346</v>
      </c>
      <c r="P1083" s="13">
        <f t="shared" si="168"/>
        <v>13.428611546718656</v>
      </c>
      <c r="Q1083" s="13">
        <f t="shared" si="169"/>
        <v>0</v>
      </c>
    </row>
    <row r="1084" spans="9:17" ht="12.75">
      <c r="I1084" s="2">
        <f t="shared" si="167"/>
        <v>15420</v>
      </c>
      <c r="J1084" s="13">
        <f t="shared" si="166"/>
        <v>-9.724152280447058</v>
      </c>
      <c r="K1084" s="10">
        <f t="shared" si="162"/>
        <v>186.59007388943073</v>
      </c>
      <c r="L1084" s="13">
        <f t="shared" si="164"/>
        <v>23.163682022612722</v>
      </c>
      <c r="M1084" s="10">
        <f t="shared" si="165"/>
        <v>-5.136317977387279</v>
      </c>
      <c r="N1084" s="10">
        <f t="shared" si="163"/>
        <v>137.10402593203082</v>
      </c>
      <c r="P1084" s="13">
        <f t="shared" si="168"/>
        <v>13.439529742165664</v>
      </c>
      <c r="Q1084" s="13">
        <f t="shared" si="169"/>
        <v>0</v>
      </c>
    </row>
    <row r="1085" spans="9:17" ht="12.75">
      <c r="I1085" s="2">
        <f t="shared" si="167"/>
        <v>15435</v>
      </c>
      <c r="J1085" s="13">
        <f t="shared" si="166"/>
        <v>-9.758019914396117</v>
      </c>
      <c r="K1085" s="10">
        <f t="shared" si="162"/>
        <v>186.43848243994015</v>
      </c>
      <c r="L1085" s="13">
        <f t="shared" si="164"/>
        <v>23.208492338986453</v>
      </c>
      <c r="M1085" s="10">
        <f t="shared" si="165"/>
        <v>-5.391507661013549</v>
      </c>
      <c r="N1085" s="10">
        <f t="shared" si="163"/>
        <v>136.85670335210546</v>
      </c>
      <c r="P1085" s="13">
        <f t="shared" si="168"/>
        <v>13.450472424590336</v>
      </c>
      <c r="Q1085" s="13">
        <f t="shared" si="169"/>
        <v>0</v>
      </c>
    </row>
    <row r="1086" spans="9:17" ht="12.75">
      <c r="I1086" s="2">
        <f t="shared" si="167"/>
        <v>15450</v>
      </c>
      <c r="J1086" s="13">
        <f t="shared" si="166"/>
        <v>-9.797369297600977</v>
      </c>
      <c r="K1086" s="10">
        <f t="shared" si="162"/>
        <v>186.28636302219348</v>
      </c>
      <c r="L1086" s="13">
        <f t="shared" si="164"/>
        <v>23.25880726865164</v>
      </c>
      <c r="M1086" s="10">
        <f t="shared" si="165"/>
        <v>-5.341192731348361</v>
      </c>
      <c r="N1086" s="10">
        <f t="shared" si="163"/>
        <v>136.5970929482559</v>
      </c>
      <c r="P1086" s="13">
        <f t="shared" si="168"/>
        <v>13.461437971050664</v>
      </c>
      <c r="Q1086" s="13">
        <f t="shared" si="169"/>
        <v>0</v>
      </c>
    </row>
    <row r="1087" spans="9:17" ht="12.75">
      <c r="I1087" s="2">
        <f t="shared" si="167"/>
        <v>15465</v>
      </c>
      <c r="J1087" s="13">
        <f t="shared" si="166"/>
        <v>-9.835268615281638</v>
      </c>
      <c r="K1087" s="10">
        <f t="shared" si="162"/>
        <v>186.13363018027735</v>
      </c>
      <c r="L1087" s="13">
        <f t="shared" si="164"/>
        <v>23.307701010058334</v>
      </c>
      <c r="M1087" s="10">
        <f t="shared" si="165"/>
        <v>-5.292298989941667</v>
      </c>
      <c r="N1087" s="10">
        <f t="shared" si="163"/>
        <v>136.33990529515273</v>
      </c>
      <c r="P1087" s="13">
        <f t="shared" si="168"/>
        <v>13.472432394776696</v>
      </c>
      <c r="Q1087" s="13">
        <f t="shared" si="169"/>
        <v>0</v>
      </c>
    </row>
    <row r="1088" spans="9:17" ht="12.75">
      <c r="I1088" s="2">
        <f t="shared" si="167"/>
        <v>15480</v>
      </c>
      <c r="J1088" s="13">
        <f t="shared" si="166"/>
        <v>-9.871762264656478</v>
      </c>
      <c r="K1088" s="10">
        <f t="shared" si="162"/>
        <v>185.98030651950768</v>
      </c>
      <c r="L1088" s="13">
        <f t="shared" si="164"/>
        <v>23.355216176731258</v>
      </c>
      <c r="M1088" s="10">
        <f t="shared" si="165"/>
        <v>-5.244783823268744</v>
      </c>
      <c r="N1088" s="10">
        <f t="shared" si="163"/>
        <v>136.08507196012727</v>
      </c>
      <c r="P1088" s="13">
        <f t="shared" si="168"/>
        <v>13.48345391207478</v>
      </c>
      <c r="Q1088" s="13">
        <f t="shared" si="169"/>
        <v>0</v>
      </c>
    </row>
    <row r="1089" spans="9:17" ht="12.75">
      <c r="I1089" s="2">
        <f t="shared" si="167"/>
        <v>15495</v>
      </c>
      <c r="J1089" s="13">
        <f t="shared" si="166"/>
        <v>-9.90689329987677</v>
      </c>
      <c r="K1089" s="10">
        <f t="shared" si="162"/>
        <v>185.8264139530847</v>
      </c>
      <c r="L1089" s="13">
        <f t="shared" si="164"/>
        <v>23.40139409775535</v>
      </c>
      <c r="M1089" s="10">
        <f t="shared" si="165"/>
        <v>-5.498605902244648</v>
      </c>
      <c r="N1089" s="10">
        <f t="shared" si="163"/>
        <v>135.83252656242556</v>
      </c>
      <c r="P1089" s="13">
        <f t="shared" si="168"/>
        <v>13.49450079787858</v>
      </c>
      <c r="Q1089" s="13">
        <f t="shared" si="169"/>
        <v>0</v>
      </c>
    </row>
    <row r="1090" spans="9:17" ht="12.75">
      <c r="I1090" s="2">
        <f t="shared" si="167"/>
        <v>15510</v>
      </c>
      <c r="J1090" s="13">
        <f t="shared" si="166"/>
        <v>-9.947465204420197</v>
      </c>
      <c r="K1090" s="10">
        <f t="shared" si="162"/>
        <v>185.67197372303025</v>
      </c>
      <c r="L1090" s="13">
        <f t="shared" si="164"/>
        <v>23.453036588372616</v>
      </c>
      <c r="M1090" s="10">
        <f t="shared" si="165"/>
        <v>-5.446963411627383</v>
      </c>
      <c r="N1090" s="10">
        <f t="shared" si="163"/>
        <v>135.56775919332512</v>
      </c>
      <c r="P1090" s="13">
        <f t="shared" si="168"/>
        <v>13.505571383952418</v>
      </c>
      <c r="Q1090" s="13">
        <f t="shared" si="169"/>
        <v>0</v>
      </c>
    </row>
    <row r="1091" spans="9:17" ht="12.75">
      <c r="I1091" s="2">
        <f t="shared" si="167"/>
        <v>15525</v>
      </c>
      <c r="J1091" s="13">
        <f t="shared" si="166"/>
        <v>-9.986547450774202</v>
      </c>
      <c r="K1091" s="10">
        <f t="shared" si="162"/>
        <v>185.516901010715</v>
      </c>
      <c r="L1091" s="13">
        <f t="shared" si="164"/>
        <v>23.50321904788545</v>
      </c>
      <c r="M1091" s="10">
        <f t="shared" si="165"/>
        <v>-5.396780952114547</v>
      </c>
      <c r="N1091" s="10">
        <f t="shared" si="163"/>
        <v>135.30547849932336</v>
      </c>
      <c r="P1091" s="13">
        <f t="shared" si="168"/>
        <v>13.51667159711125</v>
      </c>
      <c r="Q1091" s="13">
        <f t="shared" si="169"/>
        <v>0</v>
      </c>
    </row>
    <row r="1092" spans="9:17" ht="12.75">
      <c r="I1092" s="2">
        <f t="shared" si="167"/>
        <v>15540</v>
      </c>
      <c r="J1092" s="13">
        <f t="shared" si="166"/>
        <v>-10.024185641781127</v>
      </c>
      <c r="K1092" s="10">
        <f t="shared" si="162"/>
        <v>185.3612190386717</v>
      </c>
      <c r="L1092" s="13">
        <f t="shared" si="164"/>
        <v>23.551985254211612</v>
      </c>
      <c r="M1092" s="10">
        <f t="shared" si="165"/>
        <v>-5.348014745788387</v>
      </c>
      <c r="N1092" s="10">
        <f t="shared" si="163"/>
        <v>135.04561417740143</v>
      </c>
      <c r="P1092" s="13">
        <f t="shared" si="168"/>
        <v>13.527799612430485</v>
      </c>
      <c r="Q1092" s="13">
        <f t="shared" si="169"/>
        <v>0</v>
      </c>
    </row>
    <row r="1093" spans="9:17" ht="12.75">
      <c r="I1093" s="2">
        <f t="shared" si="167"/>
        <v>15555</v>
      </c>
      <c r="J1093" s="13">
        <f t="shared" si="166"/>
        <v>-10.060424000790704</v>
      </c>
      <c r="K1093" s="10">
        <f t="shared" si="162"/>
        <v>185.2049503185226</v>
      </c>
      <c r="L1093" s="13">
        <f t="shared" si="164"/>
        <v>23.599377665787127</v>
      </c>
      <c r="M1093" s="10">
        <f t="shared" si="165"/>
        <v>-5.600622334212872</v>
      </c>
      <c r="N1093" s="10">
        <f t="shared" si="163"/>
        <v>134.78809803252284</v>
      </c>
      <c r="P1093" s="13">
        <f t="shared" si="168"/>
        <v>13.538953664996423</v>
      </c>
      <c r="Q1093" s="13">
        <f t="shared" si="169"/>
        <v>0</v>
      </c>
    </row>
    <row r="1094" spans="9:17" ht="12.75">
      <c r="I1094" s="2">
        <f t="shared" si="167"/>
        <v>15570</v>
      </c>
      <c r="J1094" s="13">
        <f t="shared" si="166"/>
        <v>-10.102067145151025</v>
      </c>
      <c r="K1094" s="10">
        <f t="shared" si="162"/>
        <v>185.04811667248475</v>
      </c>
      <c r="L1094" s="13">
        <f t="shared" si="164"/>
        <v>23.652199193218816</v>
      </c>
      <c r="M1094" s="10">
        <f t="shared" si="165"/>
        <v>-5.547800806781183</v>
      </c>
      <c r="N1094" s="10">
        <f t="shared" si="163"/>
        <v>134.51841839606274</v>
      </c>
      <c r="P1094" s="13">
        <f t="shared" si="168"/>
        <v>13.550132048067791</v>
      </c>
      <c r="Q1094" s="13">
        <f t="shared" si="169"/>
        <v>0</v>
      </c>
    </row>
    <row r="1095" spans="9:17" ht="12.75">
      <c r="I1095" s="2">
        <f t="shared" si="167"/>
        <v>15585</v>
      </c>
      <c r="J1095" s="13">
        <f t="shared" si="166"/>
        <v>-10.14218568995511</v>
      </c>
      <c r="K1095" s="10">
        <f t="shared" si="162"/>
        <v>184.89063384444802</v>
      </c>
      <c r="L1095" s="13">
        <f t="shared" si="164"/>
        <v>23.70352629821147</v>
      </c>
      <c r="M1095" s="10">
        <f t="shared" si="165"/>
        <v>-5.496473701788528</v>
      </c>
      <c r="N1095" s="10">
        <f t="shared" si="163"/>
        <v>134.25128220735988</v>
      </c>
      <c r="P1095" s="13">
        <f t="shared" si="168"/>
        <v>13.561340608256362</v>
      </c>
      <c r="Q1095" s="13">
        <f t="shared" si="169"/>
        <v>0</v>
      </c>
    </row>
    <row r="1096" spans="9:17" ht="12.75">
      <c r="I1096" s="2">
        <f t="shared" si="167"/>
        <v>15600</v>
      </c>
      <c r="J1096" s="13">
        <f t="shared" si="166"/>
        <v>-10.180826303006555</v>
      </c>
      <c r="K1096" s="10">
        <f t="shared" si="162"/>
        <v>184.73252560165193</v>
      </c>
      <c r="L1096" s="13">
        <f t="shared" si="164"/>
        <v>23.753403788801922</v>
      </c>
      <c r="M1096" s="10">
        <f t="shared" si="165"/>
        <v>-5.746596211198078</v>
      </c>
      <c r="N1096" s="10">
        <f t="shared" si="163"/>
        <v>133.98661750739328</v>
      </c>
      <c r="P1096" s="13">
        <f t="shared" si="168"/>
        <v>13.572577485795367</v>
      </c>
      <c r="Q1096" s="13">
        <f t="shared" si="169"/>
        <v>0</v>
      </c>
    </row>
    <row r="1097" spans="9:17" ht="12.75">
      <c r="I1097" s="2">
        <f t="shared" si="167"/>
        <v>15615</v>
      </c>
      <c r="J1097" s="13">
        <f t="shared" si="166"/>
        <v>-10.224795972283264</v>
      </c>
      <c r="K1097" s="10">
        <f t="shared" si="162"/>
        <v>184.57381498382378</v>
      </c>
      <c r="L1097" s="13">
        <f t="shared" si="164"/>
        <v>23.80863685440262</v>
      </c>
      <c r="M1097" s="10">
        <f t="shared" si="165"/>
        <v>-5.6913631455973785</v>
      </c>
      <c r="N1097" s="10">
        <f t="shared" si="163"/>
        <v>133.7099089766909</v>
      </c>
      <c r="P1097" s="13">
        <f t="shared" si="168"/>
        <v>13.583840882119357</v>
      </c>
      <c r="Q1097" s="13">
        <f t="shared" si="169"/>
        <v>0</v>
      </c>
    </row>
    <row r="1098" spans="9:17" ht="12.75">
      <c r="I1098" s="2">
        <f t="shared" si="167"/>
        <v>15630</v>
      </c>
      <c r="J1098" s="13">
        <f t="shared" si="166"/>
        <v>-10.267167644409474</v>
      </c>
      <c r="K1098" s="10">
        <f t="shared" si="162"/>
        <v>184.41441891540754</v>
      </c>
      <c r="L1098" s="13">
        <f t="shared" si="164"/>
        <v>23.862304166863062</v>
      </c>
      <c r="M1098" s="10">
        <f t="shared" si="165"/>
        <v>-5.637695833136938</v>
      </c>
      <c r="N1098" s="10">
        <f t="shared" si="163"/>
        <v>133.43586001347282</v>
      </c>
      <c r="P1098" s="13">
        <f t="shared" si="168"/>
        <v>13.595136522453588</v>
      </c>
      <c r="Q1098" s="13">
        <f t="shared" si="169"/>
        <v>0</v>
      </c>
    </row>
    <row r="1099" spans="9:17" ht="12.75">
      <c r="I1099" s="2">
        <f t="shared" si="167"/>
        <v>15645</v>
      </c>
      <c r="J1099" s="13">
        <f t="shared" si="166"/>
        <v>-10.307990215723954</v>
      </c>
      <c r="K1099" s="10">
        <f t="shared" si="162"/>
        <v>184.25436230785024</v>
      </c>
      <c r="L1099" s="13">
        <f t="shared" si="164"/>
        <v>23.91445267753681</v>
      </c>
      <c r="M1099" s="10">
        <f t="shared" si="165"/>
        <v>-5.585547322463189</v>
      </c>
      <c r="N1099" s="10">
        <f t="shared" si="163"/>
        <v>133.1643952240216</v>
      </c>
      <c r="P1099" s="13">
        <f t="shared" si="168"/>
        <v>13.606462461812857</v>
      </c>
      <c r="Q1099" s="13">
        <f t="shared" si="169"/>
        <v>0</v>
      </c>
    </row>
    <row r="1100" spans="9:17" ht="12.75">
      <c r="I1100" s="2">
        <f t="shared" si="167"/>
        <v>15660</v>
      </c>
      <c r="J1100" s="13">
        <f t="shared" si="166"/>
        <v>-10.347311103587831</v>
      </c>
      <c r="K1100" s="10">
        <f t="shared" si="162"/>
        <v>184.09366931034563</v>
      </c>
      <c r="L1100" s="13">
        <f t="shared" si="164"/>
        <v>23.96512792273651</v>
      </c>
      <c r="M1100" s="10">
        <f t="shared" si="165"/>
        <v>-5.8348720772634906</v>
      </c>
      <c r="N1100" s="10">
        <f t="shared" si="163"/>
        <v>132.89544147540855</v>
      </c>
      <c r="P1100" s="13">
        <f t="shared" si="168"/>
        <v>13.617816819148679</v>
      </c>
      <c r="Q1100" s="13">
        <f t="shared" si="169"/>
        <v>0</v>
      </c>
    </row>
    <row r="1101" spans="9:17" ht="12.75">
      <c r="I1101" s="2">
        <f t="shared" si="167"/>
        <v>15675</v>
      </c>
      <c r="J1101" s="13">
        <f t="shared" si="166"/>
        <v>-10.391938022872065</v>
      </c>
      <c r="K1101" s="10">
        <f t="shared" si="162"/>
        <v>183.9323633328902</v>
      </c>
      <c r="L1101" s="13">
        <f t="shared" si="164"/>
        <v>24.021135798266084</v>
      </c>
      <c r="M1101" s="10">
        <f t="shared" si="165"/>
        <v>-5.778864201733917</v>
      </c>
      <c r="N1101" s="10">
        <f t="shared" si="163"/>
        <v>132.61448230932174</v>
      </c>
      <c r="P1101" s="13">
        <f t="shared" si="168"/>
        <v>13.629197775394019</v>
      </c>
      <c r="Q1101" s="13">
        <f t="shared" si="169"/>
        <v>0</v>
      </c>
    </row>
    <row r="1102" spans="9:17" ht="12.75">
      <c r="I1102" s="2">
        <f t="shared" si="167"/>
        <v>15690</v>
      </c>
      <c r="J1102" s="13">
        <f t="shared" si="166"/>
        <v>-10.434944668803777</v>
      </c>
      <c r="K1102" s="10">
        <f t="shared" si="162"/>
        <v>183.77036165886548</v>
      </c>
      <c r="L1102" s="13">
        <f t="shared" si="164"/>
        <v>24.075555661140967</v>
      </c>
      <c r="M1102" s="10">
        <f t="shared" si="165"/>
        <v>-5.724444338859033</v>
      </c>
      <c r="N1102" s="10">
        <f t="shared" si="163"/>
        <v>132.33622001915523</v>
      </c>
      <c r="P1102" s="13">
        <f t="shared" si="168"/>
        <v>13.64061099233719</v>
      </c>
      <c r="Q1102" s="13">
        <f t="shared" si="169"/>
        <v>0</v>
      </c>
    </row>
    <row r="1103" spans="9:17" ht="12.75">
      <c r="I1103" s="2">
        <f t="shared" si="167"/>
        <v>15705</v>
      </c>
      <c r="J1103" s="13">
        <f t="shared" si="166"/>
        <v>-10.476380619895071</v>
      </c>
      <c r="K1103" s="10">
        <f aca="true" t="shared" si="170" ref="K1103:K1166">MAX(D$8,K1102+J1102*I$41/VLOOKUP(K1102,E$44:G$251,3,TRUE))</f>
        <v>183.607689546986</v>
      </c>
      <c r="L1103" s="13">
        <f t="shared" si="164"/>
        <v>24.128435126975035</v>
      </c>
      <c r="M1103" s="10">
        <f t="shared" si="165"/>
        <v>-5.671564873024966</v>
      </c>
      <c r="N1103" s="10">
        <f aca="true" t="shared" si="171" ref="N1103:N1166">N1102+M1102*I$41/VLOOKUP(N1102,A$44:C$251,3,TRUE)</f>
        <v>132.06057813935752</v>
      </c>
      <c r="P1103" s="13">
        <f t="shared" si="168"/>
        <v>13.652054507079963</v>
      </c>
      <c r="Q1103" s="13">
        <f t="shared" si="169"/>
        <v>0</v>
      </c>
    </row>
    <row r="1104" spans="9:17" ht="12.75">
      <c r="I1104" s="2">
        <f t="shared" si="167"/>
        <v>15720</v>
      </c>
      <c r="J1104" s="13">
        <f t="shared" si="166"/>
        <v>-10.516293955051264</v>
      </c>
      <c r="K1104" s="10">
        <f t="shared" si="170"/>
        <v>183.4443714830784</v>
      </c>
      <c r="L1104" s="13">
        <f t="shared" si="164"/>
        <v>24.179820376391483</v>
      </c>
      <c r="M1104" s="10">
        <f t="shared" si="165"/>
        <v>-5.820179623608517</v>
      </c>
      <c r="N1104" s="10">
        <f t="shared" si="171"/>
        <v>131.78748249715116</v>
      </c>
      <c r="P1104" s="13">
        <f t="shared" si="168"/>
        <v>13.663526421340219</v>
      </c>
      <c r="Q1104" s="13">
        <f t="shared" si="169"/>
        <v>0</v>
      </c>
    </row>
    <row r="1105" spans="9:17" ht="12.75">
      <c r="I1105" s="2">
        <f t="shared" si="167"/>
        <v>15735</v>
      </c>
      <c r="J1105" s="13">
        <f t="shared" si="166"/>
        <v>-10.55923912006478</v>
      </c>
      <c r="K1105" s="10">
        <f t="shared" si="170"/>
        <v>183.2804312034593</v>
      </c>
      <c r="L1105" s="13">
        <f t="shared" si="164"/>
        <v>24.234264019539925</v>
      </c>
      <c r="M1105" s="10">
        <f t="shared" si="165"/>
        <v>-5.765735980460075</v>
      </c>
      <c r="N1105" s="10">
        <f t="shared" si="171"/>
        <v>131.50723079807855</v>
      </c>
      <c r="P1105" s="13">
        <f t="shared" si="168"/>
        <v>13.675024899475146</v>
      </c>
      <c r="Q1105" s="13">
        <f t="shared" si="169"/>
        <v>0</v>
      </c>
    </row>
    <row r="1106" spans="9:17" ht="12.75">
      <c r="I1106" s="2">
        <f t="shared" si="167"/>
        <v>15750</v>
      </c>
      <c r="J1106" s="13">
        <f t="shared" si="166"/>
        <v>-10.600614093941779</v>
      </c>
      <c r="K1106" s="10">
        <f t="shared" si="170"/>
        <v>183.11582144442178</v>
      </c>
      <c r="L1106" s="13">
        <f t="shared" si="164"/>
        <v>24.287167178291227</v>
      </c>
      <c r="M1106" s="10">
        <f t="shared" si="165"/>
        <v>-5.712832821708773</v>
      </c>
      <c r="N1106" s="10">
        <f t="shared" si="171"/>
        <v>131.22960065443598</v>
      </c>
      <c r="P1106" s="13">
        <f t="shared" si="168"/>
        <v>13.686553084349448</v>
      </c>
      <c r="Q1106" s="13">
        <f t="shared" si="169"/>
        <v>0</v>
      </c>
    </row>
    <row r="1107" spans="9:17" ht="12.75">
      <c r="I1107" s="2">
        <f t="shared" si="167"/>
        <v>15765</v>
      </c>
      <c r="J1107" s="13">
        <f t="shared" si="166"/>
        <v>-10.640466945686724</v>
      </c>
      <c r="K1107" s="10">
        <f t="shared" si="170"/>
        <v>182.95056668394028</v>
      </c>
      <c r="L1107" s="13">
        <f t="shared" si="164"/>
        <v>24.338576031562003</v>
      </c>
      <c r="M1107" s="10">
        <f t="shared" si="165"/>
        <v>-5.6614239684379974</v>
      </c>
      <c r="N1107" s="10">
        <f t="shared" si="171"/>
        <v>130.95451788923964</v>
      </c>
      <c r="P1107" s="13">
        <f t="shared" si="168"/>
        <v>13.698109085875279</v>
      </c>
      <c r="Q1107" s="13">
        <f t="shared" si="169"/>
        <v>0</v>
      </c>
    </row>
    <row r="1108" spans="9:17" ht="12.75">
      <c r="I1108" s="2">
        <f t="shared" si="167"/>
        <v>15780</v>
      </c>
      <c r="J1108" s="13">
        <f t="shared" si="166"/>
        <v>-10.678844290235782</v>
      </c>
      <c r="K1108" s="10">
        <f t="shared" si="170"/>
        <v>182.7846906506333</v>
      </c>
      <c r="L1108" s="13">
        <f t="shared" si="164"/>
        <v>24.388535366675036</v>
      </c>
      <c r="M1108" s="10">
        <f t="shared" si="165"/>
        <v>-5.611464633324964</v>
      </c>
      <c r="N1108" s="10">
        <f t="shared" si="171"/>
        <v>130.68191054910028</v>
      </c>
      <c r="P1108" s="13">
        <f t="shared" si="168"/>
        <v>13.709691076439254</v>
      </c>
      <c r="Q1108" s="13">
        <f t="shared" si="169"/>
        <v>0</v>
      </c>
    </row>
    <row r="1109" spans="9:17" ht="12.75">
      <c r="I1109" s="2">
        <f t="shared" si="167"/>
        <v>15795</v>
      </c>
      <c r="J1109" s="13">
        <f t="shared" si="166"/>
        <v>-10.715791332349207</v>
      </c>
      <c r="K1109" s="10">
        <f t="shared" si="170"/>
        <v>182.61821634643135</v>
      </c>
      <c r="L1109" s="13">
        <f t="shared" si="164"/>
        <v>24.437088621335022</v>
      </c>
      <c r="M1109" s="10">
        <f t="shared" si="165"/>
        <v>-5.562911378664978</v>
      </c>
      <c r="N1109" s="10">
        <f t="shared" si="171"/>
        <v>130.41170883721563</v>
      </c>
      <c r="P1109" s="13">
        <f t="shared" si="168"/>
        <v>13.721297288985815</v>
      </c>
      <c r="Q1109" s="13">
        <f t="shared" si="169"/>
        <v>0</v>
      </c>
    </row>
    <row r="1110" spans="9:17" ht="12.75">
      <c r="I1110" s="2">
        <f t="shared" si="167"/>
        <v>15810</v>
      </c>
      <c r="J1110" s="13">
        <f t="shared" si="166"/>
        <v>-10.75135190918197</v>
      </c>
      <c r="K1110" s="10">
        <f t="shared" si="170"/>
        <v>182.45116606856024</v>
      </c>
      <c r="L1110" s="13">
        <f t="shared" si="164"/>
        <v>24.484277924337878</v>
      </c>
      <c r="M1110" s="10">
        <f t="shared" si="165"/>
        <v>-5.515722075662122</v>
      </c>
      <c r="N1110" s="10">
        <f t="shared" si="171"/>
        <v>130.14384504838387</v>
      </c>
      <c r="P1110" s="13">
        <f t="shared" si="168"/>
        <v>13.732926015155908</v>
      </c>
      <c r="Q1110" s="13">
        <f t="shared" si="169"/>
        <v>0</v>
      </c>
    </row>
    <row r="1111" spans="9:17" ht="12.75">
      <c r="I1111" s="2">
        <f t="shared" si="167"/>
        <v>15825</v>
      </c>
      <c r="J1111" s="13">
        <f t="shared" si="166"/>
        <v>-10.785568531572343</v>
      </c>
      <c r="K1111" s="10">
        <f t="shared" si="170"/>
        <v>182.28356143086103</v>
      </c>
      <c r="L1111" s="13">
        <f t="shared" si="164"/>
        <v>24.530144135051888</v>
      </c>
      <c r="M1111" s="10">
        <f t="shared" si="165"/>
        <v>-4.969855864948112</v>
      </c>
      <c r="N1111" s="10">
        <f t="shared" si="171"/>
        <v>129.87825350597745</v>
      </c>
      <c r="P1111" s="13">
        <f t="shared" si="168"/>
        <v>13.744575603479545</v>
      </c>
      <c r="Q1111" s="13">
        <f t="shared" si="169"/>
        <v>0</v>
      </c>
    </row>
    <row r="1112" spans="9:17" ht="12.75">
      <c r="I1112" s="2">
        <f t="shared" si="167"/>
        <v>15840</v>
      </c>
      <c r="J1112" s="13">
        <f t="shared" si="166"/>
        <v>-10.807212871009508</v>
      </c>
      <c r="K1112" s="10">
        <f t="shared" si="170"/>
        <v>182.11542338446608</v>
      </c>
      <c r="L1112" s="13">
        <f t="shared" si="164"/>
        <v>24.563457328630403</v>
      </c>
      <c r="M1112" s="10">
        <f t="shared" si="165"/>
        <v>-4.9365426713695975</v>
      </c>
      <c r="N1112" s="10">
        <f t="shared" si="171"/>
        <v>129.63894636421023</v>
      </c>
      <c r="P1112" s="13">
        <f t="shared" si="168"/>
        <v>13.756244457620895</v>
      </c>
      <c r="Q1112" s="13">
        <f t="shared" si="169"/>
        <v>0</v>
      </c>
    </row>
    <row r="1113" spans="9:17" ht="12.75">
      <c r="I1113" s="2">
        <f t="shared" si="167"/>
        <v>15855</v>
      </c>
      <c r="J1113" s="13">
        <f t="shared" si="166"/>
        <v>-10.827942862468685</v>
      </c>
      <c r="K1113" s="10">
        <f t="shared" si="170"/>
        <v>181.9469479208142</v>
      </c>
      <c r="L1113" s="13">
        <f t="shared" si="164"/>
        <v>24.595861732609908</v>
      </c>
      <c r="M1113" s="10">
        <f t="shared" si="165"/>
        <v>-4.904138267390092</v>
      </c>
      <c r="N1113" s="10">
        <f t="shared" si="171"/>
        <v>129.4012433102385</v>
      </c>
      <c r="P1113" s="13">
        <f t="shared" si="168"/>
        <v>13.767918870141223</v>
      </c>
      <c r="Q1113" s="13">
        <f t="shared" si="169"/>
        <v>0</v>
      </c>
    </row>
    <row r="1114" spans="9:17" ht="12.75">
      <c r="I1114" s="2">
        <f t="shared" si="167"/>
        <v>15870</v>
      </c>
      <c r="J1114" s="13">
        <f t="shared" si="166"/>
        <v>-10.847786721004073</v>
      </c>
      <c r="K1114" s="10">
        <f t="shared" si="170"/>
        <v>181.77814929383018</v>
      </c>
      <c r="L1114" s="13">
        <f t="shared" si="164"/>
        <v>24.627384502345542</v>
      </c>
      <c r="M1114" s="10">
        <f t="shared" si="165"/>
        <v>-4.872615497654458</v>
      </c>
      <c r="N1114" s="10">
        <f t="shared" si="171"/>
        <v>129.1651005842738</v>
      </c>
      <c r="P1114" s="13">
        <f t="shared" si="168"/>
        <v>13.779597781341469</v>
      </c>
      <c r="Q1114" s="13">
        <f t="shared" si="169"/>
        <v>0</v>
      </c>
    </row>
    <row r="1115" spans="9:17" ht="12.75">
      <c r="I1115" s="2">
        <f t="shared" si="167"/>
        <v>15885</v>
      </c>
      <c r="J1115" s="13">
        <f t="shared" si="166"/>
        <v>-10.866771807165474</v>
      </c>
      <c r="K1115" s="10">
        <f t="shared" si="170"/>
        <v>181.60904131758957</v>
      </c>
      <c r="L1115" s="13">
        <f t="shared" si="164"/>
        <v>24.658051975248146</v>
      </c>
      <c r="M1115" s="10">
        <f t="shared" si="165"/>
        <v>-3.3419480247518543</v>
      </c>
      <c r="N1115" s="10">
        <f t="shared" si="171"/>
        <v>128.9304757341049</v>
      </c>
      <c r="P1115" s="13">
        <f t="shared" si="168"/>
        <v>13.791280168082672</v>
      </c>
      <c r="Q1115" s="13">
        <f t="shared" si="169"/>
        <v>0</v>
      </c>
    </row>
    <row r="1116" spans="9:17" ht="12.75">
      <c r="I1116" s="2">
        <f t="shared" si="167"/>
        <v>15900</v>
      </c>
      <c r="J1116" s="13">
        <f t="shared" si="166"/>
        <v>-10.851115993587536</v>
      </c>
      <c r="K1116" s="10">
        <f t="shared" si="170"/>
        <v>181.43963737963972</v>
      </c>
      <c r="L1116" s="13">
        <f t="shared" si="164"/>
        <v>24.654081036223694</v>
      </c>
      <c r="M1116" s="10">
        <f t="shared" si="165"/>
        <v>-2.774490392347765</v>
      </c>
      <c r="N1116" s="10">
        <f t="shared" si="171"/>
        <v>128.7695551658891</v>
      </c>
      <c r="P1116" s="13">
        <f t="shared" si="168"/>
        <v>13.802965042636158</v>
      </c>
      <c r="Q1116" s="13">
        <f t="shared" si="169"/>
        <v>0</v>
      </c>
    </row>
    <row r="1117" spans="9:17" ht="12.75">
      <c r="I1117" s="2">
        <f t="shared" si="167"/>
        <v>15915</v>
      </c>
      <c r="J1117" s="13">
        <f t="shared" si="166"/>
        <v>-10.822819169432831</v>
      </c>
      <c r="K1117" s="10">
        <f t="shared" si="170"/>
        <v>181.27047750280747</v>
      </c>
      <c r="L1117" s="13">
        <f t="shared" si="164"/>
        <v>24.63743435075854</v>
      </c>
      <c r="M1117" s="10">
        <f t="shared" si="165"/>
        <v>-2.7911370778129196</v>
      </c>
      <c r="N1117" s="10">
        <f t="shared" si="171"/>
        <v>128.6359586625506</v>
      </c>
      <c r="P1117" s="13">
        <f t="shared" si="168"/>
        <v>13.814615181325708</v>
      </c>
      <c r="Q1117" s="13">
        <f t="shared" si="169"/>
        <v>0</v>
      </c>
    </row>
    <row r="1118" spans="9:17" ht="12.75">
      <c r="I1118" s="2">
        <f t="shared" si="167"/>
        <v>15930</v>
      </c>
      <c r="J1118" s="13">
        <f t="shared" si="166"/>
        <v>-10.795152196101046</v>
      </c>
      <c r="K1118" s="10">
        <f t="shared" si="170"/>
        <v>181.10175874993809</v>
      </c>
      <c r="L1118" s="13">
        <f t="shared" si="164"/>
        <v>24.621369350261286</v>
      </c>
      <c r="M1118" s="10">
        <f t="shared" si="165"/>
        <v>-2.2357735068816282</v>
      </c>
      <c r="N1118" s="10">
        <f t="shared" si="171"/>
        <v>128.5015605925617</v>
      </c>
      <c r="P1118" s="13">
        <f t="shared" si="168"/>
        <v>13.82621715416024</v>
      </c>
      <c r="Q1118" s="13">
        <f t="shared" si="169"/>
        <v>0</v>
      </c>
    </row>
    <row r="1119" spans="9:17" ht="12.75">
      <c r="I1119" s="2">
        <f t="shared" si="167"/>
        <v>15945</v>
      </c>
      <c r="J1119" s="13">
        <f t="shared" si="166"/>
        <v>-10.755217031753562</v>
      </c>
      <c r="K1119" s="10">
        <f t="shared" si="170"/>
        <v>180.93347130218092</v>
      </c>
      <c r="L1119" s="13">
        <f t="shared" si="164"/>
        <v>24.592988838783842</v>
      </c>
      <c r="M1119" s="10">
        <f t="shared" si="165"/>
        <v>-1.692725446930531</v>
      </c>
      <c r="N1119" s="10">
        <f t="shared" si="171"/>
        <v>128.39390423750635</v>
      </c>
      <c r="P1119" s="13">
        <f t="shared" si="168"/>
        <v>13.83777180703028</v>
      </c>
      <c r="Q1119" s="13">
        <f t="shared" si="169"/>
        <v>0</v>
      </c>
    </row>
    <row r="1120" spans="9:17" ht="12.75">
      <c r="I1120" s="2">
        <f t="shared" si="167"/>
        <v>15960</v>
      </c>
      <c r="J1120" s="13">
        <f t="shared" si="166"/>
        <v>-10.703393711829627</v>
      </c>
      <c r="K1120" s="10">
        <f t="shared" si="170"/>
        <v>180.76580641043424</v>
      </c>
      <c r="L1120" s="13">
        <f t="shared" si="164"/>
        <v>24.552659918632596</v>
      </c>
      <c r="M1120" s="10">
        <f t="shared" si="165"/>
        <v>-1.7330543670817775</v>
      </c>
      <c r="N1120" s="10">
        <f t="shared" si="171"/>
        <v>128.3123965842646</v>
      </c>
      <c r="P1120" s="13">
        <f t="shared" si="168"/>
        <v>13.84926620680297</v>
      </c>
      <c r="Q1120" s="13">
        <f t="shared" si="169"/>
        <v>0</v>
      </c>
    </row>
    <row r="1121" spans="9:17" ht="12.75">
      <c r="I1121" s="2">
        <f t="shared" si="167"/>
        <v>15975</v>
      </c>
      <c r="J1121" s="13">
        <f t="shared" si="166"/>
        <v>-10.652930230082179</v>
      </c>
      <c r="K1121" s="10">
        <f t="shared" si="170"/>
        <v>180.59894940115979</v>
      </c>
      <c r="L1121" s="13">
        <f t="shared" si="164"/>
        <v>24.51361813404669</v>
      </c>
      <c r="M1121" s="10">
        <f t="shared" si="165"/>
        <v>-1.7720961516676823</v>
      </c>
      <c r="N1121" s="10">
        <f t="shared" si="171"/>
        <v>128.22894702387822</v>
      </c>
      <c r="P1121" s="13">
        <f t="shared" si="168"/>
        <v>13.860687903964513</v>
      </c>
      <c r="Q1121" s="13">
        <f t="shared" si="169"/>
        <v>0</v>
      </c>
    </row>
    <row r="1122" spans="9:17" ht="12.75">
      <c r="I1122" s="2">
        <f t="shared" si="167"/>
        <v>15990</v>
      </c>
      <c r="J1122" s="13">
        <f t="shared" si="166"/>
        <v>-10.603785922403436</v>
      </c>
      <c r="K1122" s="10">
        <f t="shared" si="170"/>
        <v>180.43287907561094</v>
      </c>
      <c r="L1122" s="13">
        <f t="shared" si="164"/>
        <v>24.47582455132341</v>
      </c>
      <c r="M1122" s="10">
        <f t="shared" si="165"/>
        <v>-1.2384611629624196</v>
      </c>
      <c r="N1122" s="10">
        <f t="shared" si="171"/>
        <v>128.1436175341473</v>
      </c>
      <c r="P1122" s="13">
        <f t="shared" si="168"/>
        <v>13.872038628919974</v>
      </c>
      <c r="Q1122" s="13">
        <f t="shared" si="169"/>
        <v>0</v>
      </c>
    </row>
    <row r="1123" spans="9:17" ht="12.75">
      <c r="I1123" s="2">
        <f t="shared" si="167"/>
        <v>16005</v>
      </c>
      <c r="J1123" s="13">
        <f t="shared" si="166"/>
        <v>-10.543041863763285</v>
      </c>
      <c r="K1123" s="10">
        <f t="shared" si="170"/>
        <v>180.26757486896074</v>
      </c>
      <c r="L1123" s="13">
        <f t="shared" si="164"/>
        <v>24.426361921788157</v>
      </c>
      <c r="M1123" s="10">
        <f t="shared" si="165"/>
        <v>-1.287923792497672</v>
      </c>
      <c r="N1123" s="10">
        <f t="shared" si="171"/>
        <v>128.08398349059513</v>
      </c>
      <c r="P1123" s="13">
        <f t="shared" si="168"/>
        <v>13.883320058024871</v>
      </c>
      <c r="Q1123" s="13">
        <f t="shared" si="169"/>
        <v>0</v>
      </c>
    </row>
    <row r="1124" spans="9:17" ht="12.75">
      <c r="I1124" s="2">
        <f t="shared" si="167"/>
        <v>16020</v>
      </c>
      <c r="J1124" s="13">
        <f t="shared" si="166"/>
        <v>-10.483937245202585</v>
      </c>
      <c r="K1124" s="10">
        <f t="shared" si="170"/>
        <v>180.10321761168274</v>
      </c>
      <c r="L1124" s="13">
        <f t="shared" si="164"/>
        <v>24.378457388608304</v>
      </c>
      <c r="M1124" s="10">
        <f t="shared" si="165"/>
        <v>-1.3358283256775252</v>
      </c>
      <c r="N1124" s="10">
        <f t="shared" si="171"/>
        <v>128.02196773601955</v>
      </c>
      <c r="P1124" s="13">
        <f t="shared" si="168"/>
        <v>13.89452014340572</v>
      </c>
      <c r="Q1124" s="13">
        <f t="shared" si="169"/>
        <v>0</v>
      </c>
    </row>
    <row r="1125" spans="9:17" ht="12.75">
      <c r="I1125" s="2">
        <f t="shared" si="167"/>
        <v>16035</v>
      </c>
      <c r="J1125" s="13">
        <f t="shared" si="166"/>
        <v>-10.426422929537315</v>
      </c>
      <c r="K1125" s="10">
        <f t="shared" si="170"/>
        <v>179.93978174626912</v>
      </c>
      <c r="L1125" s="13">
        <f t="shared" si="164"/>
        <v>24.332063870595928</v>
      </c>
      <c r="M1125" s="10">
        <f t="shared" si="165"/>
        <v>-0.8107932722613178</v>
      </c>
      <c r="N1125" s="10">
        <f t="shared" si="171"/>
        <v>127.95764529545055</v>
      </c>
      <c r="P1125" s="13">
        <f t="shared" si="168"/>
        <v>13.905640941058612</v>
      </c>
      <c r="Q1125" s="13">
        <f t="shared" si="169"/>
        <v>0</v>
      </c>
    </row>
    <row r="1126" spans="9:17" ht="12.75">
      <c r="I1126" s="2">
        <f t="shared" si="167"/>
        <v>16050</v>
      </c>
      <c r="J1126" s="13">
        <f t="shared" si="166"/>
        <v>-10.357571775017455</v>
      </c>
      <c r="K1126" s="10">
        <f t="shared" si="170"/>
        <v>179.7772424812199</v>
      </c>
      <c r="L1126" s="13">
        <f t="shared" si="164"/>
        <v>24.274256217056756</v>
      </c>
      <c r="M1126" s="10">
        <f t="shared" si="165"/>
        <v>-0.8686009258004894</v>
      </c>
      <c r="N1126" s="10">
        <f t="shared" si="171"/>
        <v>127.91860419932593</v>
      </c>
      <c r="P1126" s="13">
        <f t="shared" si="168"/>
        <v>13.916684442039301</v>
      </c>
      <c r="Q1126" s="13">
        <f t="shared" si="169"/>
        <v>0</v>
      </c>
    </row>
    <row r="1127" spans="9:17" ht="12.75">
      <c r="I1127" s="2">
        <f t="shared" si="167"/>
        <v>16065</v>
      </c>
      <c r="J1127" s="13">
        <f t="shared" si="166"/>
        <v>-10.290614944421591</v>
      </c>
      <c r="K1127" s="10">
        <f t="shared" si="170"/>
        <v>179.6157765484275</v>
      </c>
      <c r="L1127" s="13">
        <f t="shared" si="164"/>
        <v>24.21825390720086</v>
      </c>
      <c r="M1127" s="10">
        <f t="shared" si="165"/>
        <v>-0.9246032356563845</v>
      </c>
      <c r="N1127" s="10">
        <f t="shared" si="171"/>
        <v>127.87677956486203</v>
      </c>
      <c r="P1127" s="13">
        <f t="shared" si="168"/>
        <v>13.92763896277927</v>
      </c>
      <c r="Q1127" s="13">
        <f t="shared" si="169"/>
        <v>0</v>
      </c>
    </row>
    <row r="1128" spans="9:17" ht="12.75">
      <c r="I1128" s="2">
        <f t="shared" si="167"/>
        <v>16080</v>
      </c>
      <c r="J1128" s="13">
        <f t="shared" si="166"/>
        <v>-10.225495577245207</v>
      </c>
      <c r="K1128" s="10">
        <f t="shared" si="170"/>
        <v>179.45535441695685</v>
      </c>
      <c r="L1128" s="13">
        <f t="shared" si="164"/>
        <v>24.164002427204434</v>
      </c>
      <c r="M1128" s="10">
        <f t="shared" si="165"/>
        <v>-0.9788547156528118</v>
      </c>
      <c r="N1128" s="10">
        <f t="shared" si="171"/>
        <v>127.83225832247466</v>
      </c>
      <c r="P1128" s="13">
        <f t="shared" si="168"/>
        <v>13.938506849959227</v>
      </c>
      <c r="Q1128" s="13">
        <f t="shared" si="169"/>
        <v>0</v>
      </c>
    </row>
    <row r="1129" spans="9:17" ht="12.75">
      <c r="I1129" s="2">
        <f t="shared" si="167"/>
        <v>16095</v>
      </c>
      <c r="J1129" s="13">
        <f t="shared" si="166"/>
        <v>-10.162158531293858</v>
      </c>
      <c r="K1129" s="10">
        <f t="shared" si="170"/>
        <v>179.29594744228092</v>
      </c>
      <c r="L1129" s="13">
        <f t="shared" si="164"/>
        <v>24.11144890685093</v>
      </c>
      <c r="M1129" s="10">
        <f t="shared" si="165"/>
        <v>-0.45997966457773387</v>
      </c>
      <c r="N1129" s="10">
        <f t="shared" si="171"/>
        <v>127.78512477764484</v>
      </c>
      <c r="P1129" s="13">
        <f t="shared" si="168"/>
        <v>13.949290375557073</v>
      </c>
      <c r="Q1129" s="13">
        <f t="shared" si="169"/>
        <v>0</v>
      </c>
    </row>
    <row r="1130" spans="9:17" ht="12.75">
      <c r="I1130" s="2">
        <f t="shared" si="167"/>
        <v>16110</v>
      </c>
      <c r="J1130" s="13">
        <f t="shared" si="166"/>
        <v>-10.087670841374722</v>
      </c>
      <c r="K1130" s="10">
        <f t="shared" si="170"/>
        <v>179.13752783949357</v>
      </c>
      <c r="L1130" s="13">
        <f t="shared" si="164"/>
        <v>24.04766258071587</v>
      </c>
      <c r="M1130" s="10">
        <f t="shared" si="165"/>
        <v>-0.5237659907127963</v>
      </c>
      <c r="N1130" s="10">
        <f t="shared" si="171"/>
        <v>127.76297596250967</v>
      </c>
      <c r="P1130" s="13">
        <f t="shared" si="168"/>
        <v>13.959991739341147</v>
      </c>
      <c r="Q1130" s="13">
        <f t="shared" si="169"/>
        <v>0</v>
      </c>
    </row>
    <row r="1131" spans="9:17" ht="12.75">
      <c r="I1131" s="2">
        <f t="shared" si="167"/>
        <v>16125</v>
      </c>
      <c r="J1131" s="13">
        <f t="shared" si="166"/>
        <v>-10.01525794499134</v>
      </c>
      <c r="K1131" s="10">
        <f t="shared" si="170"/>
        <v>178.98026943786377</v>
      </c>
      <c r="L1131" s="13">
        <f t="shared" si="164"/>
        <v>23.98585748232413</v>
      </c>
      <c r="M1131" s="10">
        <f t="shared" si="165"/>
        <v>-0.5855710891045369</v>
      </c>
      <c r="N1131" s="10">
        <f t="shared" si="171"/>
        <v>127.73775572562586</v>
      </c>
      <c r="P1131" s="13">
        <f t="shared" si="168"/>
        <v>13.970599537332788</v>
      </c>
      <c r="Q1131" s="13">
        <f t="shared" si="169"/>
        <v>0</v>
      </c>
    </row>
    <row r="1132" spans="9:17" ht="12.75">
      <c r="I1132" s="2">
        <f t="shared" si="167"/>
        <v>16140</v>
      </c>
      <c r="J1132" s="13">
        <f t="shared" si="166"/>
        <v>-9.944857510008429</v>
      </c>
      <c r="K1132" s="10">
        <f t="shared" si="170"/>
        <v>178.82413989308523</v>
      </c>
      <c r="L1132" s="13">
        <f aca="true" t="shared" si="172" ref="L1132:L1195">(K1132-N1132)/D$12</f>
        <v>23.92597381668524</v>
      </c>
      <c r="M1132" s="10">
        <f t="shared" si="165"/>
        <v>-0.645454754743426</v>
      </c>
      <c r="N1132" s="10">
        <f t="shared" si="171"/>
        <v>127.70955946653041</v>
      </c>
      <c r="P1132" s="13">
        <f t="shared" si="168"/>
        <v>13.98111630667681</v>
      </c>
      <c r="Q1132" s="13">
        <f t="shared" si="169"/>
        <v>0</v>
      </c>
    </row>
    <row r="1133" spans="9:17" ht="12.75">
      <c r="I1133" s="2">
        <f t="shared" si="167"/>
        <v>16155</v>
      </c>
      <c r="J1133" s="13">
        <f t="shared" si="166"/>
        <v>-9.876409087985355</v>
      </c>
      <c r="K1133" s="10">
        <f t="shared" si="170"/>
        <v>178.66910783255787</v>
      </c>
      <c r="L1133" s="13">
        <f t="shared" si="172"/>
        <v>23.867953591375564</v>
      </c>
      <c r="M1133" s="10">
        <f t="shared" si="165"/>
        <v>-0.7034749800531017</v>
      </c>
      <c r="N1133" s="10">
        <f t="shared" si="171"/>
        <v>127.67847970552826</v>
      </c>
      <c r="P1133" s="13">
        <f t="shared" si="168"/>
        <v>13.991544503390209</v>
      </c>
      <c r="Q1133" s="13">
        <f t="shared" si="169"/>
        <v>0</v>
      </c>
    </row>
    <row r="1134" spans="9:17" ht="12.75">
      <c r="I1134" s="2">
        <f t="shared" si="167"/>
        <v>16170</v>
      </c>
      <c r="J1134" s="13">
        <f t="shared" si="166"/>
        <v>-9.809854057084605</v>
      </c>
      <c r="K1134" s="10">
        <f t="shared" si="170"/>
        <v>178.51514282602253</v>
      </c>
      <c r="L1134" s="13">
        <f t="shared" si="172"/>
        <v>23.81174056216462</v>
      </c>
      <c r="M1134" s="10">
        <f aca="true" t="shared" si="173" ref="M1134:M1197">L1134-VLOOKUP(N1134,A$44:C$251,2,TRUE)</f>
        <v>-0.7596880092640461</v>
      </c>
      <c r="N1134" s="10">
        <f t="shared" si="171"/>
        <v>127.64460617048903</v>
      </c>
      <c r="P1134" s="13">
        <f t="shared" si="168"/>
        <v>14.001886505080014</v>
      </c>
      <c r="Q1134" s="13">
        <f t="shared" si="169"/>
        <v>0</v>
      </c>
    </row>
    <row r="1135" spans="9:17" ht="12.75">
      <c r="I1135" s="2">
        <f t="shared" si="167"/>
        <v>16185</v>
      </c>
      <c r="J1135" s="13">
        <f t="shared" si="166"/>
        <v>-9.745135566718677</v>
      </c>
      <c r="K1135" s="10">
        <f t="shared" si="170"/>
        <v>178.36221535708574</v>
      </c>
      <c r="L1135" s="13">
        <f t="shared" si="172"/>
        <v>23.757280180283523</v>
      </c>
      <c r="M1135" s="10">
        <f t="shared" si="173"/>
        <v>-0.8141483911451424</v>
      </c>
      <c r="N1135" s="10">
        <f t="shared" si="171"/>
        <v>127.6080258810255</v>
      </c>
      <c r="P1135" s="13">
        <f t="shared" si="168"/>
        <v>14.012144613564846</v>
      </c>
      <c r="Q1135" s="13">
        <f t="shared" si="169"/>
        <v>0</v>
      </c>
    </row>
    <row r="1136" spans="9:17" ht="12.75">
      <c r="I1136" s="2">
        <f t="shared" si="167"/>
        <v>16200</v>
      </c>
      <c r="J1136" s="13">
        <f t="shared" si="166"/>
        <v>-9.682198483882008</v>
      </c>
      <c r="K1136" s="10">
        <f t="shared" si="170"/>
        <v>178.21029679560746</v>
      </c>
      <c r="L1136" s="13">
        <f t="shared" si="172"/>
        <v>23.704519541285897</v>
      </c>
      <c r="M1136" s="10">
        <f t="shared" si="173"/>
        <v>-0.2954804587141844</v>
      </c>
      <c r="N1136" s="10">
        <f t="shared" si="171"/>
        <v>127.56882323013305</v>
      </c>
      <c r="P1136" s="13">
        <f t="shared" si="168"/>
        <v>14.02232105740389</v>
      </c>
      <c r="Q1136" s="13">
        <f t="shared" si="169"/>
        <v>0</v>
      </c>
    </row>
    <row r="1137" spans="9:17" ht="12.75">
      <c r="I1137" s="2">
        <f t="shared" si="167"/>
        <v>16215</v>
      </c>
      <c r="J1137" s="13">
        <f t="shared" si="166"/>
        <v>-9.608109851885079</v>
      </c>
      <c r="K1137" s="10">
        <f t="shared" si="170"/>
        <v>178.05935937092536</v>
      </c>
      <c r="L1137" s="13">
        <f t="shared" si="172"/>
        <v>23.64052784622192</v>
      </c>
      <c r="M1137" s="10">
        <f t="shared" si="173"/>
        <v>-0.3594721537781602</v>
      </c>
      <c r="N1137" s="10">
        <f t="shared" si="171"/>
        <v>127.5545953358149</v>
      </c>
      <c r="P1137" s="13">
        <f t="shared" si="168"/>
        <v>14.032417994336843</v>
      </c>
      <c r="Q1137" s="13">
        <f t="shared" si="169"/>
        <v>0</v>
      </c>
    </row>
    <row r="1138" spans="9:17" ht="12.75">
      <c r="I1138" s="2">
        <f t="shared" si="167"/>
        <v>16230</v>
      </c>
      <c r="J1138" s="13">
        <f t="shared" si="166"/>
        <v>-9.53609498609945</v>
      </c>
      <c r="K1138" s="10">
        <f t="shared" si="170"/>
        <v>177.90957692641956</v>
      </c>
      <c r="L1138" s="13">
        <f t="shared" si="172"/>
        <v>23.578519095784692</v>
      </c>
      <c r="M1138" s="10">
        <f t="shared" si="173"/>
        <v>-0.42148090421538953</v>
      </c>
      <c r="N1138" s="10">
        <f t="shared" si="171"/>
        <v>127.53728613087954</v>
      </c>
      <c r="P1138" s="13">
        <f t="shared" si="168"/>
        <v>14.042424109685243</v>
      </c>
      <c r="Q1138" s="13">
        <f t="shared" si="169"/>
        <v>0</v>
      </c>
    </row>
    <row r="1139" spans="9:17" ht="12.75">
      <c r="I1139" s="2">
        <f t="shared" si="167"/>
        <v>16245</v>
      </c>
      <c r="J1139" s="13">
        <f t="shared" si="166"/>
        <v>-9.466091570087508</v>
      </c>
      <c r="K1139" s="10">
        <f t="shared" si="170"/>
        <v>177.76091713379893</v>
      </c>
      <c r="L1139" s="13">
        <f t="shared" si="172"/>
        <v>23.518433463783172</v>
      </c>
      <c r="M1139" s="10">
        <f t="shared" si="173"/>
        <v>-0.4815665362169099</v>
      </c>
      <c r="N1139" s="10">
        <f t="shared" si="171"/>
        <v>127.51699109753488</v>
      </c>
      <c r="P1139" s="13">
        <f t="shared" si="168"/>
        <v>14.052341893695663</v>
      </c>
      <c r="Q1139" s="13">
        <f t="shared" si="169"/>
        <v>0</v>
      </c>
    </row>
    <row r="1140" spans="9:17" ht="12.75">
      <c r="I1140" s="2">
        <f t="shared" si="167"/>
        <v>16260</v>
      </c>
      <c r="J1140" s="13">
        <f t="shared" si="166"/>
        <v>-9.398039170152476</v>
      </c>
      <c r="K1140" s="10">
        <f t="shared" si="170"/>
        <v>177.61334863623378</v>
      </c>
      <c r="L1140" s="13">
        <f t="shared" si="172"/>
        <v>23.46021292718183</v>
      </c>
      <c r="M1140" s="10">
        <f t="shared" si="173"/>
        <v>-0.5397870728182532</v>
      </c>
      <c r="N1140" s="10">
        <f t="shared" si="171"/>
        <v>127.49380283725442</v>
      </c>
      <c r="P1140" s="13">
        <f t="shared" si="168"/>
        <v>14.062173757029353</v>
      </c>
      <c r="Q1140" s="13">
        <f t="shared" si="169"/>
        <v>0</v>
      </c>
    </row>
    <row r="1141" spans="9:17" ht="12.75">
      <c r="I1141" s="2">
        <f t="shared" si="167"/>
        <v>16275</v>
      </c>
      <c r="J1141" s="13">
        <f t="shared" si="166"/>
        <v>-9.331879178297946</v>
      </c>
      <c r="K1141" s="10">
        <f t="shared" si="170"/>
        <v>177.46684101900556</v>
      </c>
      <c r="L1141" s="13">
        <f t="shared" si="172"/>
        <v>23.403801211720683</v>
      </c>
      <c r="M1141" s="10">
        <f t="shared" si="173"/>
        <v>-0.5961987882793984</v>
      </c>
      <c r="N1141" s="10">
        <f t="shared" si="171"/>
        <v>127.46781115760228</v>
      </c>
      <c r="P1141" s="13">
        <f t="shared" si="168"/>
        <v>14.071922033422737</v>
      </c>
      <c r="Q1141" s="13">
        <f t="shared" si="169"/>
        <v>0</v>
      </c>
    </row>
    <row r="1142" spans="9:17" ht="12.75">
      <c r="I1142" s="2">
        <f t="shared" si="167"/>
        <v>16290</v>
      </c>
      <c r="J1142" s="13">
        <f t="shared" si="166"/>
        <v>-9.267554756923333</v>
      </c>
      <c r="K1142" s="10">
        <f t="shared" si="170"/>
        <v>177.3213647810456</v>
      </c>
      <c r="L1142" s="13">
        <f t="shared" si="172"/>
        <v>23.349143739177173</v>
      </c>
      <c r="M1142" s="10">
        <f t="shared" si="173"/>
        <v>-0.6508562608229091</v>
      </c>
      <c r="N1142" s="10">
        <f t="shared" si="171"/>
        <v>127.43910315643981</v>
      </c>
      <c r="P1142" s="13">
        <f t="shared" si="168"/>
        <v>14.08158898225384</v>
      </c>
      <c r="Q1142" s="13">
        <f t="shared" si="169"/>
        <v>0</v>
      </c>
    </row>
    <row r="1143" spans="9:17" ht="12.75">
      <c r="I1143" s="2">
        <f t="shared" si="167"/>
        <v>16305</v>
      </c>
      <c r="J1143" s="13">
        <f t="shared" si="166"/>
        <v>-9.205010785202052</v>
      </c>
      <c r="K1143" s="10">
        <f t="shared" si="170"/>
        <v>177.17689130733618</v>
      </c>
      <c r="L1143" s="13">
        <f t="shared" si="172"/>
        <v>23.29618757622035</v>
      </c>
      <c r="M1143" s="10">
        <f t="shared" si="173"/>
        <v>-0.7038124237797305</v>
      </c>
      <c r="N1143" s="10">
        <f t="shared" si="171"/>
        <v>127.4077633035927</v>
      </c>
      <c r="P1143" s="13">
        <f t="shared" si="168"/>
        <v>14.091176791018299</v>
      </c>
      <c r="Q1143" s="13">
        <f t="shared" si="169"/>
        <v>0</v>
      </c>
    </row>
    <row r="1144" spans="9:17" ht="12.75">
      <c r="I1144" s="2">
        <f t="shared" si="167"/>
        <v>16320</v>
      </c>
      <c r="J1144" s="13">
        <f aca="true" t="shared" si="174" ref="J1144:J1207">(D$7-K1144)*(1/D$13+1/D$14)+D$16*(D$19*D$21*D$17+D$20*D$22*D$18)*(D$7^4-K1144^4)-(K1144-N1144)/D$12</f>
        <v>-9.144193807090735</v>
      </c>
      <c r="K1144" s="10">
        <f t="shared" si="170"/>
        <v>177.0333928421475</v>
      </c>
      <c r="L1144" s="13">
        <f t="shared" si="172"/>
        <v>23.244881384809094</v>
      </c>
      <c r="M1144" s="10">
        <f t="shared" si="173"/>
        <v>-0.18369004376240383</v>
      </c>
      <c r="N1144" s="10">
        <f t="shared" si="171"/>
        <v>127.37387352005534</v>
      </c>
      <c r="P1144" s="13">
        <f t="shared" si="168"/>
        <v>14.10068757771836</v>
      </c>
      <c r="Q1144" s="13">
        <f t="shared" si="169"/>
        <v>0</v>
      </c>
    </row>
    <row r="1145" spans="9:17" ht="12.75">
      <c r="I1145" s="2">
        <f aca="true" t="shared" si="175" ref="I1145:I1208">I1144+I$41</f>
        <v>16335</v>
      </c>
      <c r="J1145" s="13">
        <f t="shared" si="174"/>
        <v>-9.072172491688303</v>
      </c>
      <c r="K1145" s="10">
        <f t="shared" si="170"/>
        <v>176.89084246308494</v>
      </c>
      <c r="L1145" s="13">
        <f t="shared" si="172"/>
        <v>23.182295884856536</v>
      </c>
      <c r="M1145" s="10">
        <f t="shared" si="173"/>
        <v>-0.24627554371496174</v>
      </c>
      <c r="N1145" s="10">
        <f t="shared" si="171"/>
        <v>127.36502852725506</v>
      </c>
      <c r="P1145" s="13">
        <f aca="true" t="shared" si="176" ref="P1145:P1208">(D$7-K1145)*(1/D$13+1/D$14)+D$16*(D$19*D$21*D$17+D$20*D$22*D$18)*(D$7^4-K1145^4)</f>
        <v>14.110123393168234</v>
      </c>
      <c r="Q1145" s="13">
        <f aca="true" t="shared" si="177" ref="Q1145:Q1208">IF(K1145=D$8,-J1145,0)</f>
        <v>0</v>
      </c>
    </row>
    <row r="1146" spans="9:17" ht="12.75">
      <c r="I1146" s="2">
        <f t="shared" si="175"/>
        <v>16350</v>
      </c>
      <c r="J1146" s="13">
        <f t="shared" si="174"/>
        <v>-9.002173591458543</v>
      </c>
      <c r="K1146" s="10">
        <f t="shared" si="170"/>
        <v>176.7494148364517</v>
      </c>
      <c r="L1146" s="13">
        <f t="shared" si="172"/>
        <v>23.121646549821463</v>
      </c>
      <c r="M1146" s="10">
        <f t="shared" si="173"/>
        <v>-0.30692487875003494</v>
      </c>
      <c r="N1146" s="10">
        <f t="shared" si="171"/>
        <v>127.3531699345604</v>
      </c>
      <c r="P1146" s="13">
        <f t="shared" si="176"/>
        <v>14.11947295836292</v>
      </c>
      <c r="Q1146" s="13">
        <f t="shared" si="177"/>
        <v>0</v>
      </c>
    </row>
    <row r="1147" spans="9:17" ht="12.75">
      <c r="I1147" s="2">
        <f t="shared" si="175"/>
        <v>16365</v>
      </c>
      <c r="J1147" s="13">
        <f t="shared" si="174"/>
        <v>-8.934136327164111</v>
      </c>
      <c r="K1147" s="10">
        <f t="shared" si="170"/>
        <v>176.6090784344767</v>
      </c>
      <c r="L1147" s="13">
        <f t="shared" si="172"/>
        <v>23.062874982597165</v>
      </c>
      <c r="M1147" s="10">
        <f t="shared" si="173"/>
        <v>-0.3656964459743328</v>
      </c>
      <c r="N1147" s="10">
        <f t="shared" si="171"/>
        <v>127.33839097165547</v>
      </c>
      <c r="P1147" s="13">
        <f t="shared" si="176"/>
        <v>14.128738655433054</v>
      </c>
      <c r="Q1147" s="13">
        <f t="shared" si="177"/>
        <v>0</v>
      </c>
    </row>
    <row r="1148" spans="9:17" ht="12.75">
      <c r="I1148" s="2">
        <f t="shared" si="175"/>
        <v>16380</v>
      </c>
      <c r="J1148" s="13">
        <f t="shared" si="174"/>
        <v>-8.868001755284181</v>
      </c>
      <c r="K1148" s="10">
        <f t="shared" si="170"/>
        <v>176.46980267688653</v>
      </c>
      <c r="L1148" s="13">
        <f t="shared" si="172"/>
        <v>23.005924545805122</v>
      </c>
      <c r="M1148" s="10">
        <f t="shared" si="173"/>
        <v>-0.42264688276637585</v>
      </c>
      <c r="N1148" s="10">
        <f t="shared" si="171"/>
        <v>127.32078205630286</v>
      </c>
      <c r="P1148" s="13">
        <f t="shared" si="176"/>
        <v>14.13792279052094</v>
      </c>
      <c r="Q1148" s="13">
        <f t="shared" si="177"/>
        <v>0</v>
      </c>
    </row>
    <row r="1149" spans="9:17" ht="12.75">
      <c r="I1149" s="2">
        <f t="shared" si="175"/>
        <v>16395</v>
      </c>
      <c r="J1149" s="13">
        <f t="shared" si="174"/>
        <v>-8.803712712425675</v>
      </c>
      <c r="K1149" s="10">
        <f t="shared" si="170"/>
        <v>176.33155790228835</v>
      </c>
      <c r="L1149" s="13">
        <f t="shared" si="172"/>
        <v>22.950740308736957</v>
      </c>
      <c r="M1149" s="10">
        <f t="shared" si="173"/>
        <v>-0.47783111983454063</v>
      </c>
      <c r="N1149" s="10">
        <f t="shared" si="171"/>
        <v>127.30043087907758</v>
      </c>
      <c r="P1149" s="13">
        <f t="shared" si="176"/>
        <v>14.147027596311283</v>
      </c>
      <c r="Q1149" s="13">
        <f t="shared" si="177"/>
        <v>0</v>
      </c>
    </row>
    <row r="1150" spans="9:17" ht="12.75">
      <c r="I1150" s="2">
        <f t="shared" si="175"/>
        <v>16410</v>
      </c>
      <c r="J1150" s="13">
        <f t="shared" si="174"/>
        <v>-8.74121376142514</v>
      </c>
      <c r="K1150" s="10">
        <f t="shared" si="170"/>
        <v>176.19431534041908</v>
      </c>
      <c r="L1150" s="13">
        <f t="shared" si="172"/>
        <v>22.897268995897953</v>
      </c>
      <c r="M1150" s="10">
        <f t="shared" si="173"/>
        <v>-0.5313024326735452</v>
      </c>
      <c r="N1150" s="10">
        <f t="shared" si="171"/>
        <v>127.27742248554618</v>
      </c>
      <c r="P1150" s="13">
        <f t="shared" si="176"/>
        <v>14.156055234472813</v>
      </c>
      <c r="Q1150" s="13">
        <f t="shared" si="177"/>
        <v>0</v>
      </c>
    </row>
    <row r="1151" spans="9:17" ht="12.75">
      <c r="I1151" s="2">
        <f t="shared" si="175"/>
        <v>16425</v>
      </c>
      <c r="J1151" s="13">
        <f t="shared" si="174"/>
        <v>-8.680451139089282</v>
      </c>
      <c r="K1151" s="10">
        <f t="shared" si="170"/>
        <v>176.05804708523493</v>
      </c>
      <c r="L1151" s="13">
        <f t="shared" si="172"/>
        <v>22.845458937103597</v>
      </c>
      <c r="M1151" s="10">
        <f t="shared" si="173"/>
        <v>-0.5831124914679009</v>
      </c>
      <c r="N1151" s="10">
        <f t="shared" si="171"/>
        <v>127.25183935596816</v>
      </c>
      <c r="P1151" s="13">
        <f t="shared" si="176"/>
        <v>14.165007798014315</v>
      </c>
      <c r="Q1151" s="13">
        <f t="shared" si="177"/>
        <v>0</v>
      </c>
    </row>
    <row r="1152" spans="9:17" ht="12.75">
      <c r="I1152" s="2">
        <f t="shared" si="175"/>
        <v>16440</v>
      </c>
      <c r="J1152" s="13">
        <f t="shared" si="174"/>
        <v>-8.621372705523996</v>
      </c>
      <c r="K1152" s="10">
        <f t="shared" si="170"/>
        <v>175.92272606881556</v>
      </c>
      <c r="L1152" s="13">
        <f t="shared" si="172"/>
        <v>22.795260019082257</v>
      </c>
      <c r="M1152" s="10">
        <f t="shared" si="173"/>
        <v>-0.6333114094892416</v>
      </c>
      <c r="N1152" s="10">
        <f t="shared" si="171"/>
        <v>127.22376148259438</v>
      </c>
      <c r="P1152" s="13">
        <f t="shared" si="176"/>
        <v>14.17388731355826</v>
      </c>
      <c r="Q1152" s="13">
        <f t="shared" si="177"/>
        <v>0</v>
      </c>
    </row>
    <row r="1153" spans="9:17" ht="12.75">
      <c r="I1153" s="2">
        <f t="shared" si="175"/>
        <v>16455</v>
      </c>
      <c r="J1153" s="13">
        <f t="shared" si="174"/>
        <v>-8.563927895003335</v>
      </c>
      <c r="K1153" s="10">
        <f t="shared" si="170"/>
        <v>175.78832603605827</v>
      </c>
      <c r="L1153" s="13">
        <f t="shared" si="172"/>
        <v>22.746623638538477</v>
      </c>
      <c r="M1153" s="10">
        <f t="shared" si="173"/>
        <v>-0.1105192186044377</v>
      </c>
      <c r="N1153" s="10">
        <f t="shared" si="171"/>
        <v>127.19326644463516</v>
      </c>
      <c r="P1153" s="13">
        <f t="shared" si="176"/>
        <v>14.182695743535142</v>
      </c>
      <c r="Q1153" s="13">
        <f t="shared" si="177"/>
        <v>0</v>
      </c>
    </row>
    <row r="1154" spans="9:17" ht="12.75">
      <c r="I1154" s="2">
        <f t="shared" si="175"/>
        <v>16470</v>
      </c>
      <c r="J1154" s="13">
        <f t="shared" si="174"/>
        <v>-8.49518817909998</v>
      </c>
      <c r="K1154" s="10">
        <f t="shared" si="170"/>
        <v>175.65482152013794</v>
      </c>
      <c r="L1154" s="13">
        <f t="shared" si="172"/>
        <v>22.686623167401535</v>
      </c>
      <c r="M1154" s="10">
        <f t="shared" si="173"/>
        <v>-0.1705196897413792</v>
      </c>
      <c r="N1154" s="10">
        <f t="shared" si="171"/>
        <v>127.18794475341649</v>
      </c>
      <c r="P1154" s="13">
        <f t="shared" si="176"/>
        <v>14.191434988301555</v>
      </c>
      <c r="Q1154" s="13">
        <f t="shared" si="177"/>
        <v>0</v>
      </c>
    </row>
    <row r="1155" spans="9:17" ht="12.75">
      <c r="I1155" s="2">
        <f t="shared" si="175"/>
        <v>16485</v>
      </c>
      <c r="J1155" s="13">
        <f t="shared" si="174"/>
        <v>-8.428382882453691</v>
      </c>
      <c r="K1155" s="10">
        <f t="shared" si="170"/>
        <v>175.52238859923906</v>
      </c>
      <c r="L1155" s="13">
        <f t="shared" si="172"/>
        <v>22.628476650922472</v>
      </c>
      <c r="M1155" s="10">
        <f t="shared" si="173"/>
        <v>-0.2286662062204421</v>
      </c>
      <c r="N1155" s="10">
        <f t="shared" si="171"/>
        <v>127.1797339359047</v>
      </c>
      <c r="P1155" s="13">
        <f t="shared" si="176"/>
        <v>14.200093768468781</v>
      </c>
      <c r="Q1155" s="13">
        <f t="shared" si="177"/>
        <v>0</v>
      </c>
    </row>
    <row r="1156" spans="9:17" ht="12.75">
      <c r="I1156" s="2">
        <f t="shared" si="175"/>
        <v>16500</v>
      </c>
      <c r="J1156" s="13">
        <f t="shared" si="174"/>
        <v>-8.363453870077024</v>
      </c>
      <c r="K1156" s="10">
        <f t="shared" si="170"/>
        <v>175.39099711737364</v>
      </c>
      <c r="L1156" s="13">
        <f t="shared" si="172"/>
        <v>22.572128187051614</v>
      </c>
      <c r="M1156" s="10">
        <f t="shared" si="173"/>
        <v>-0.2850146700913001</v>
      </c>
      <c r="N1156" s="10">
        <f t="shared" si="171"/>
        <v>127.16872326321793</v>
      </c>
      <c r="P1156" s="13">
        <f t="shared" si="176"/>
        <v>14.20867431697459</v>
      </c>
      <c r="Q1156" s="13">
        <f t="shared" si="177"/>
        <v>0</v>
      </c>
    </row>
    <row r="1157" spans="9:17" ht="12.75">
      <c r="I1157" s="2">
        <f t="shared" si="175"/>
        <v>16515</v>
      </c>
      <c r="J1157" s="13">
        <f t="shared" si="174"/>
        <v>-8.300344762209484</v>
      </c>
      <c r="K1157" s="10">
        <f t="shared" si="170"/>
        <v>175.26061782482986</v>
      </c>
      <c r="L1157" s="13">
        <f t="shared" si="172"/>
        <v>22.51752355793588</v>
      </c>
      <c r="M1157" s="10">
        <f t="shared" si="173"/>
        <v>-0.33961929920703327</v>
      </c>
      <c r="N1157" s="10">
        <f t="shared" si="171"/>
        <v>127.15499931469412</v>
      </c>
      <c r="P1157" s="13">
        <f t="shared" si="176"/>
        <v>14.217178795726397</v>
      </c>
      <c r="Q1157" s="13">
        <f t="shared" si="177"/>
        <v>0</v>
      </c>
    </row>
    <row r="1158" spans="9:17" ht="12.75">
      <c r="I1158" s="2">
        <f t="shared" si="175"/>
        <v>16530</v>
      </c>
      <c r="J1158" s="13">
        <f t="shared" si="174"/>
        <v>-8.239000881195368</v>
      </c>
      <c r="K1158" s="10">
        <f t="shared" si="170"/>
        <v>175.13122235080945</v>
      </c>
      <c r="L1158" s="13">
        <f t="shared" si="172"/>
        <v>22.46461017915048</v>
      </c>
      <c r="M1158" s="10">
        <f t="shared" si="173"/>
        <v>-0.39253267799243474</v>
      </c>
      <c r="N1158" s="10">
        <f t="shared" si="171"/>
        <v>127.13864605898797</v>
      </c>
      <c r="P1158" s="13">
        <f t="shared" si="176"/>
        <v>14.225609297955112</v>
      </c>
      <c r="Q1158" s="13">
        <f t="shared" si="177"/>
        <v>0</v>
      </c>
    </row>
    <row r="1159" spans="9:17" ht="12.75">
      <c r="I1159" s="2">
        <f t="shared" si="175"/>
        <v>16545</v>
      </c>
      <c r="J1159" s="13">
        <f t="shared" si="174"/>
        <v>-8.179369199975913</v>
      </c>
      <c r="K1159" s="10">
        <f t="shared" si="170"/>
        <v>175.0027831768934</v>
      </c>
      <c r="L1159" s="13">
        <f t="shared" si="172"/>
        <v>22.413337050462598</v>
      </c>
      <c r="M1159" s="10">
        <f t="shared" si="173"/>
        <v>-0.44380580668031655</v>
      </c>
      <c r="N1159" s="10">
        <f t="shared" si="171"/>
        <v>127.1197449327233</v>
      </c>
      <c r="P1159" s="13">
        <f t="shared" si="176"/>
        <v>14.233967850486685</v>
      </c>
      <c r="Q1159" s="13">
        <f t="shared" si="177"/>
        <v>0</v>
      </c>
    </row>
    <row r="1160" spans="9:17" ht="12.75">
      <c r="I1160" s="2">
        <f t="shared" si="175"/>
        <v>16560</v>
      </c>
      <c r="J1160" s="13">
        <f t="shared" si="174"/>
        <v>-8.187888405437661</v>
      </c>
      <c r="K1160" s="10">
        <f t="shared" si="170"/>
        <v>175</v>
      </c>
      <c r="L1160" s="13">
        <f t="shared" si="172"/>
        <v>22.4220372729991</v>
      </c>
      <c r="M1160" s="10">
        <f t="shared" si="173"/>
        <v>-0.43510558414381606</v>
      </c>
      <c r="N1160" s="10">
        <f t="shared" si="171"/>
        <v>127.09837491677466</v>
      </c>
      <c r="P1160" s="13">
        <f t="shared" si="176"/>
        <v>14.234148867561437</v>
      </c>
      <c r="Q1160" s="13">
        <f t="shared" si="177"/>
        <v>8.187888405437661</v>
      </c>
    </row>
    <row r="1161" spans="9:17" ht="12.75">
      <c r="I1161" s="2">
        <f t="shared" si="175"/>
        <v>16575</v>
      </c>
      <c r="J1161" s="13">
        <f t="shared" si="174"/>
        <v>-8.197695296387067</v>
      </c>
      <c r="K1161" s="10">
        <f t="shared" si="170"/>
        <v>175</v>
      </c>
      <c r="L1161" s="13">
        <f t="shared" si="172"/>
        <v>22.431844163948504</v>
      </c>
      <c r="M1161" s="10">
        <f t="shared" si="173"/>
        <v>-0.42529869319441005</v>
      </c>
      <c r="N1161" s="10">
        <f t="shared" si="171"/>
        <v>127.07742383156456</v>
      </c>
      <c r="P1161" s="13">
        <f t="shared" si="176"/>
        <v>14.234148867561437</v>
      </c>
      <c r="Q1161" s="13">
        <f t="shared" si="177"/>
        <v>8.197695296387067</v>
      </c>
    </row>
    <row r="1162" spans="9:17" ht="12.75">
      <c r="I1162" s="2">
        <f t="shared" si="175"/>
        <v>16590</v>
      </c>
      <c r="J1162" s="13">
        <f t="shared" si="174"/>
        <v>-8.207281148780321</v>
      </c>
      <c r="K1162" s="10">
        <f t="shared" si="170"/>
        <v>175</v>
      </c>
      <c r="L1162" s="13">
        <f t="shared" si="172"/>
        <v>22.44143001634176</v>
      </c>
      <c r="M1162" s="10">
        <f t="shared" si="173"/>
        <v>-0.4157128408011559</v>
      </c>
      <c r="N1162" s="10">
        <f t="shared" si="171"/>
        <v>127.05694496508806</v>
      </c>
      <c r="P1162" s="13">
        <f t="shared" si="176"/>
        <v>14.234148867561437</v>
      </c>
      <c r="Q1162" s="13">
        <f t="shared" si="177"/>
        <v>8.207281148780321</v>
      </c>
    </row>
    <row r="1163" spans="9:17" ht="12.75">
      <c r="I1163" s="2">
        <f t="shared" si="175"/>
        <v>16605</v>
      </c>
      <c r="J1163" s="13">
        <f t="shared" si="174"/>
        <v>-8.216650944628899</v>
      </c>
      <c r="K1163" s="10">
        <f t="shared" si="170"/>
        <v>175</v>
      </c>
      <c r="L1163" s="13">
        <f t="shared" si="172"/>
        <v>22.450799812190336</v>
      </c>
      <c r="M1163" s="10">
        <f t="shared" si="173"/>
        <v>-0.4063430449525782</v>
      </c>
      <c r="N1163" s="10">
        <f t="shared" si="171"/>
        <v>127.03692767395701</v>
      </c>
      <c r="P1163" s="13">
        <f t="shared" si="176"/>
        <v>14.234148867561437</v>
      </c>
      <c r="Q1163" s="13">
        <f t="shared" si="177"/>
        <v>8.216650944628899</v>
      </c>
    </row>
    <row r="1164" spans="9:17" ht="12.75">
      <c r="I1164" s="2">
        <f t="shared" si="175"/>
        <v>16620</v>
      </c>
      <c r="J1164" s="13">
        <f t="shared" si="174"/>
        <v>-8.225809553654205</v>
      </c>
      <c r="K1164" s="10">
        <f t="shared" si="170"/>
        <v>175</v>
      </c>
      <c r="L1164" s="13">
        <f t="shared" si="172"/>
        <v>22.459958421215642</v>
      </c>
      <c r="M1164" s="10">
        <f t="shared" si="173"/>
        <v>-0.39718443592727226</v>
      </c>
      <c r="N1164" s="10">
        <f t="shared" si="171"/>
        <v>127.01736155467567</v>
      </c>
      <c r="P1164" s="13">
        <f t="shared" si="176"/>
        <v>14.234148867561437</v>
      </c>
      <c r="Q1164" s="13">
        <f t="shared" si="177"/>
        <v>8.225809553654205</v>
      </c>
    </row>
    <row r="1165" spans="9:17" ht="12.75">
      <c r="I1165" s="2">
        <f t="shared" si="175"/>
        <v>16635</v>
      </c>
      <c r="J1165" s="13">
        <f t="shared" si="174"/>
        <v>-8.23476173581846</v>
      </c>
      <c r="K1165" s="10">
        <f t="shared" si="170"/>
        <v>175</v>
      </c>
      <c r="L1165" s="13">
        <f t="shared" si="172"/>
        <v>22.468910603379896</v>
      </c>
      <c r="M1165" s="10">
        <f t="shared" si="173"/>
        <v>0.18319631766556554</v>
      </c>
      <c r="N1165" s="10">
        <f t="shared" si="171"/>
        <v>126.99823643823386</v>
      </c>
      <c r="P1165" s="13">
        <f t="shared" si="176"/>
        <v>14.234148867561437</v>
      </c>
      <c r="Q1165" s="13">
        <f t="shared" si="177"/>
        <v>8.23476173581846</v>
      </c>
    </row>
    <row r="1166" spans="9:17" ht="12.75">
      <c r="I1166" s="2">
        <f t="shared" si="175"/>
        <v>16650</v>
      </c>
      <c r="J1166" s="13">
        <f t="shared" si="174"/>
        <v>-8.230632654567497</v>
      </c>
      <c r="K1166" s="10">
        <f t="shared" si="170"/>
        <v>175</v>
      </c>
      <c r="L1166" s="13">
        <f t="shared" si="172"/>
        <v>22.464781522128934</v>
      </c>
      <c r="M1166" s="10">
        <f t="shared" si="173"/>
        <v>-0.3923613350139803</v>
      </c>
      <c r="N1166" s="10">
        <f t="shared" si="171"/>
        <v>127.00705765727001</v>
      </c>
      <c r="P1166" s="13">
        <f t="shared" si="176"/>
        <v>14.234148867561437</v>
      </c>
      <c r="Q1166" s="13">
        <f t="shared" si="177"/>
        <v>8.230632654567497</v>
      </c>
    </row>
    <row r="1167" spans="9:17" ht="12.75">
      <c r="I1167" s="2">
        <f t="shared" si="175"/>
        <v>16665</v>
      </c>
      <c r="J1167" s="13">
        <f t="shared" si="174"/>
        <v>-8.239476128348269</v>
      </c>
      <c r="K1167" s="10">
        <f aca="true" t="shared" si="178" ref="K1167:K1230">MAX(D$8,K1166+J1166*I$41/VLOOKUP(K1166,E$44:G$251,3,TRUE))</f>
        <v>175</v>
      </c>
      <c r="L1167" s="13">
        <f t="shared" si="172"/>
        <v>22.473624995909706</v>
      </c>
      <c r="M1167" s="10">
        <f t="shared" si="173"/>
        <v>0.18791071019537497</v>
      </c>
      <c r="N1167" s="10">
        <f aca="true" t="shared" si="179" ref="N1167:N1230">N1166+M1166*I$41/VLOOKUP(N1166,A$44:C$251,3,TRUE)</f>
        <v>126.98816478146563</v>
      </c>
      <c r="P1167" s="13">
        <f t="shared" si="176"/>
        <v>14.234148867561437</v>
      </c>
      <c r="Q1167" s="13">
        <f t="shared" si="177"/>
        <v>8.239476128348269</v>
      </c>
    </row>
    <row r="1168" spans="9:17" ht="12.75">
      <c r="I1168" s="2">
        <f t="shared" si="175"/>
        <v>16680</v>
      </c>
      <c r="J1168" s="13">
        <f t="shared" si="174"/>
        <v>-8.235240788903617</v>
      </c>
      <c r="K1168" s="10">
        <f t="shared" si="178"/>
        <v>175</v>
      </c>
      <c r="L1168" s="13">
        <f t="shared" si="172"/>
        <v>22.469389656465054</v>
      </c>
      <c r="M1168" s="10">
        <f t="shared" si="173"/>
        <v>0.1836753707507235</v>
      </c>
      <c r="N1168" s="10">
        <f t="shared" si="179"/>
        <v>126.99721300664284</v>
      </c>
      <c r="P1168" s="13">
        <f t="shared" si="176"/>
        <v>14.234148867561437</v>
      </c>
      <c r="Q1168" s="13">
        <f t="shared" si="177"/>
        <v>8.235240788903617</v>
      </c>
    </row>
    <row r="1169" spans="9:17" ht="12.75">
      <c r="I1169" s="2">
        <f t="shared" si="175"/>
        <v>16695</v>
      </c>
      <c r="J1169" s="13">
        <f t="shared" si="174"/>
        <v>-8.231100910224313</v>
      </c>
      <c r="K1169" s="10">
        <f t="shared" si="178"/>
        <v>175</v>
      </c>
      <c r="L1169" s="13">
        <f t="shared" si="172"/>
        <v>22.46524977778575</v>
      </c>
      <c r="M1169" s="10">
        <f t="shared" si="173"/>
        <v>-0.391893079357164</v>
      </c>
      <c r="N1169" s="10">
        <f t="shared" si="179"/>
        <v>127.00605729291226</v>
      </c>
      <c r="P1169" s="13">
        <f t="shared" si="176"/>
        <v>14.234148867561437</v>
      </c>
      <c r="Q1169" s="13">
        <f t="shared" si="177"/>
        <v>8.231100910224313</v>
      </c>
    </row>
    <row r="1170" spans="9:17" ht="12.75">
      <c r="I1170" s="2">
        <f t="shared" si="175"/>
        <v>16710</v>
      </c>
      <c r="J1170" s="13">
        <f t="shared" si="174"/>
        <v>-8.239933829941133</v>
      </c>
      <c r="K1170" s="10">
        <f t="shared" si="178"/>
        <v>175</v>
      </c>
      <c r="L1170" s="13">
        <f t="shared" si="172"/>
        <v>22.47408269750257</v>
      </c>
      <c r="M1170" s="10">
        <f t="shared" si="173"/>
        <v>0.1883684117882396</v>
      </c>
      <c r="N1170" s="10">
        <f t="shared" si="179"/>
        <v>126.98718696442633</v>
      </c>
      <c r="P1170" s="13">
        <f t="shared" si="176"/>
        <v>14.234148867561437</v>
      </c>
      <c r="Q1170" s="13">
        <f t="shared" si="177"/>
        <v>8.239933829941133</v>
      </c>
    </row>
    <row r="1171" spans="9:17" ht="12.75">
      <c r="I1171" s="2">
        <f t="shared" si="175"/>
        <v>16725</v>
      </c>
      <c r="J1171" s="13">
        <f t="shared" si="174"/>
        <v>-8.235688174311697</v>
      </c>
      <c r="K1171" s="10">
        <f t="shared" si="178"/>
        <v>175</v>
      </c>
      <c r="L1171" s="13">
        <f t="shared" si="172"/>
        <v>22.469837041873134</v>
      </c>
      <c r="M1171" s="10">
        <f t="shared" si="173"/>
        <v>0.18412275615880347</v>
      </c>
      <c r="N1171" s="10">
        <f t="shared" si="179"/>
        <v>126.99625722872558</v>
      </c>
      <c r="P1171" s="13">
        <f t="shared" si="176"/>
        <v>14.234148867561437</v>
      </c>
      <c r="Q1171" s="13">
        <f t="shared" si="177"/>
        <v>8.235688174311697</v>
      </c>
    </row>
    <row r="1172" spans="9:17" ht="12.75">
      <c r="I1172" s="2">
        <f t="shared" si="175"/>
        <v>16740</v>
      </c>
      <c r="J1172" s="13">
        <f t="shared" si="174"/>
        <v>-8.231538211965187</v>
      </c>
      <c r="K1172" s="10">
        <f t="shared" si="178"/>
        <v>175</v>
      </c>
      <c r="L1172" s="13">
        <f t="shared" si="172"/>
        <v>22.465687079526624</v>
      </c>
      <c r="M1172" s="10">
        <f t="shared" si="173"/>
        <v>-0.39145577761629013</v>
      </c>
      <c r="N1172" s="10">
        <f t="shared" si="179"/>
        <v>127.00512305737495</v>
      </c>
      <c r="P1172" s="13">
        <f t="shared" si="176"/>
        <v>14.234148867561437</v>
      </c>
      <c r="Q1172" s="13">
        <f t="shared" si="177"/>
        <v>8.231538211965187</v>
      </c>
    </row>
    <row r="1173" spans="9:17" ht="12.75">
      <c r="I1173" s="2">
        <f t="shared" si="175"/>
        <v>16755</v>
      </c>
      <c r="J1173" s="13">
        <f t="shared" si="174"/>
        <v>-8.240361275291647</v>
      </c>
      <c r="K1173" s="10">
        <f t="shared" si="178"/>
        <v>175</v>
      </c>
      <c r="L1173" s="13">
        <f t="shared" si="172"/>
        <v>22.474510142853084</v>
      </c>
      <c r="M1173" s="10">
        <f t="shared" si="173"/>
        <v>0.18879585713875358</v>
      </c>
      <c r="N1173" s="10">
        <f t="shared" si="179"/>
        <v>126.98627378572296</v>
      </c>
      <c r="P1173" s="13">
        <f t="shared" si="176"/>
        <v>14.234148867561437</v>
      </c>
      <c r="Q1173" s="13">
        <f t="shared" si="177"/>
        <v>8.240361275291647</v>
      </c>
    </row>
    <row r="1174" spans="9:17" ht="12.75">
      <c r="I1174" s="2">
        <f t="shared" si="175"/>
        <v>16770</v>
      </c>
      <c r="J1174" s="13">
        <f t="shared" si="174"/>
        <v>-8.236105985426082</v>
      </c>
      <c r="K1174" s="10">
        <f t="shared" si="178"/>
        <v>175</v>
      </c>
      <c r="L1174" s="13">
        <f t="shared" si="172"/>
        <v>22.47025485298752</v>
      </c>
      <c r="M1174" s="10">
        <f t="shared" si="173"/>
        <v>0.18454056727318857</v>
      </c>
      <c r="N1174" s="10">
        <f t="shared" si="179"/>
        <v>126.99536463225394</v>
      </c>
      <c r="P1174" s="13">
        <f t="shared" si="176"/>
        <v>14.234148867561437</v>
      </c>
      <c r="Q1174" s="13">
        <f t="shared" si="177"/>
        <v>8.236105985426082</v>
      </c>
    </row>
    <row r="1175" spans="9:17" ht="12.75">
      <c r="I1175" s="2">
        <f t="shared" si="175"/>
        <v>16785</v>
      </c>
      <c r="J1175" s="13">
        <f t="shared" si="174"/>
        <v>-8.231946605990512</v>
      </c>
      <c r="K1175" s="10">
        <f t="shared" si="178"/>
        <v>175</v>
      </c>
      <c r="L1175" s="13">
        <f t="shared" si="172"/>
        <v>22.46609547355195</v>
      </c>
      <c r="M1175" s="10">
        <f t="shared" si="173"/>
        <v>-0.3910473835909656</v>
      </c>
      <c r="N1175" s="10">
        <f t="shared" si="179"/>
        <v>127.00425057922993</v>
      </c>
      <c r="P1175" s="13">
        <f t="shared" si="176"/>
        <v>14.234148867561437</v>
      </c>
      <c r="Q1175" s="13">
        <f t="shared" si="177"/>
        <v>8.231946605990512</v>
      </c>
    </row>
    <row r="1176" spans="9:17" ht="12.75">
      <c r="I1176" s="2">
        <f t="shared" si="175"/>
        <v>16800</v>
      </c>
      <c r="J1176" s="13">
        <f t="shared" si="174"/>
        <v>-8.240760464480683</v>
      </c>
      <c r="K1176" s="10">
        <f t="shared" si="178"/>
        <v>175</v>
      </c>
      <c r="L1176" s="13">
        <f t="shared" si="172"/>
        <v>22.47490933204212</v>
      </c>
      <c r="M1176" s="10">
        <f t="shared" si="173"/>
        <v>0.18919504632778938</v>
      </c>
      <c r="N1176" s="10">
        <f t="shared" si="179"/>
        <v>126.98542097245547</v>
      </c>
      <c r="P1176" s="13">
        <f t="shared" si="176"/>
        <v>14.234148867561437</v>
      </c>
      <c r="Q1176" s="13">
        <f t="shared" si="177"/>
        <v>8.240760464480683</v>
      </c>
    </row>
    <row r="1177" spans="9:17" ht="12.75">
      <c r="I1177" s="2">
        <f t="shared" si="175"/>
        <v>16815</v>
      </c>
      <c r="J1177" s="13">
        <f t="shared" si="174"/>
        <v>-8.23649617724761</v>
      </c>
      <c r="K1177" s="10">
        <f t="shared" si="178"/>
        <v>175</v>
      </c>
      <c r="L1177" s="13">
        <f t="shared" si="172"/>
        <v>22.470645044809046</v>
      </c>
      <c r="M1177" s="10">
        <f t="shared" si="173"/>
        <v>0.18493075909471557</v>
      </c>
      <c r="N1177" s="10">
        <f t="shared" si="179"/>
        <v>126.99453104063522</v>
      </c>
      <c r="P1177" s="13">
        <f t="shared" si="176"/>
        <v>14.234148867561437</v>
      </c>
      <c r="Q1177" s="13">
        <f t="shared" si="177"/>
        <v>8.23649617724761</v>
      </c>
    </row>
    <row r="1178" spans="9:17" ht="12.75">
      <c r="I1178" s="2">
        <f t="shared" si="175"/>
        <v>16830</v>
      </c>
      <c r="J1178" s="13">
        <f t="shared" si="174"/>
        <v>-8.23232800323715</v>
      </c>
      <c r="K1178" s="10">
        <f t="shared" si="178"/>
        <v>175</v>
      </c>
      <c r="L1178" s="13">
        <f t="shared" si="172"/>
        <v>22.466476870798587</v>
      </c>
      <c r="M1178" s="10">
        <f t="shared" si="173"/>
        <v>-0.39066598634432737</v>
      </c>
      <c r="N1178" s="10">
        <f t="shared" si="179"/>
        <v>127.0034357760212</v>
      </c>
      <c r="P1178" s="13">
        <f t="shared" si="176"/>
        <v>14.234148867561437</v>
      </c>
      <c r="Q1178" s="13">
        <f t="shared" si="177"/>
        <v>8.23232800323715</v>
      </c>
    </row>
    <row r="1179" spans="9:17" ht="12.75">
      <c r="I1179" s="2">
        <f t="shared" si="175"/>
        <v>16845</v>
      </c>
      <c r="J1179" s="13">
        <f t="shared" si="174"/>
        <v>-8.241133265374295</v>
      </c>
      <c r="K1179" s="10">
        <f t="shared" si="178"/>
        <v>175</v>
      </c>
      <c r="L1179" s="13">
        <f t="shared" si="172"/>
        <v>22.47528213293573</v>
      </c>
      <c r="M1179" s="10">
        <f t="shared" si="173"/>
        <v>0.18956784722140085</v>
      </c>
      <c r="N1179" s="10">
        <f t="shared" si="179"/>
        <v>126.98462453418276</v>
      </c>
      <c r="P1179" s="13">
        <f t="shared" si="176"/>
        <v>14.234148867561437</v>
      </c>
      <c r="Q1179" s="13">
        <f t="shared" si="177"/>
        <v>8.241133265374295</v>
      </c>
    </row>
    <row r="1180" spans="9:17" ht="12.75">
      <c r="I1180" s="2">
        <f t="shared" si="175"/>
        <v>16860</v>
      </c>
      <c r="J1180" s="13">
        <f t="shared" si="174"/>
        <v>-8.236860575542302</v>
      </c>
      <c r="K1180" s="10">
        <f t="shared" si="178"/>
        <v>175</v>
      </c>
      <c r="L1180" s="13">
        <f t="shared" si="172"/>
        <v>22.47100944310374</v>
      </c>
      <c r="M1180" s="10">
        <f t="shared" si="173"/>
        <v>0.18529515738940816</v>
      </c>
      <c r="N1180" s="10">
        <f t="shared" si="179"/>
        <v>126.99375255336929</v>
      </c>
      <c r="P1180" s="13">
        <f t="shared" si="176"/>
        <v>14.234148867561437</v>
      </c>
      <c r="Q1180" s="13">
        <f t="shared" si="177"/>
        <v>8.236860575542302</v>
      </c>
    </row>
    <row r="1181" spans="9:17" ht="12.75">
      <c r="I1181" s="2">
        <f t="shared" si="175"/>
        <v>16875</v>
      </c>
      <c r="J1181" s="13">
        <f t="shared" si="174"/>
        <v>-8.232684188319997</v>
      </c>
      <c r="K1181" s="10">
        <f t="shared" si="178"/>
        <v>175</v>
      </c>
      <c r="L1181" s="13">
        <f t="shared" si="172"/>
        <v>22.466833055881434</v>
      </c>
      <c r="M1181" s="10">
        <f t="shared" si="173"/>
        <v>-0.3903098012614805</v>
      </c>
      <c r="N1181" s="10">
        <f t="shared" si="179"/>
        <v>127.0026748351624</v>
      </c>
      <c r="P1181" s="13">
        <f t="shared" si="176"/>
        <v>14.234148867561437</v>
      </c>
      <c r="Q1181" s="13">
        <f t="shared" si="177"/>
        <v>8.232684188319997</v>
      </c>
    </row>
    <row r="1182" spans="9:17" ht="12.75">
      <c r="I1182" s="2">
        <f t="shared" si="175"/>
        <v>16890</v>
      </c>
      <c r="J1182" s="13">
        <f t="shared" si="174"/>
        <v>-8.241481422363748</v>
      </c>
      <c r="K1182" s="10">
        <f t="shared" si="178"/>
        <v>175</v>
      </c>
      <c r="L1182" s="13">
        <f t="shared" si="172"/>
        <v>22.475630289925185</v>
      </c>
      <c r="M1182" s="10">
        <f t="shared" si="173"/>
        <v>0.18991600421085408</v>
      </c>
      <c r="N1182" s="10">
        <f t="shared" si="179"/>
        <v>126.98388074425074</v>
      </c>
      <c r="P1182" s="13">
        <f t="shared" si="176"/>
        <v>14.234148867561437</v>
      </c>
      <c r="Q1182" s="13">
        <f t="shared" si="177"/>
        <v>8.241481422363748</v>
      </c>
    </row>
    <row r="1183" spans="9:17" ht="12.75">
      <c r="I1183" s="2">
        <f t="shared" si="175"/>
        <v>16905</v>
      </c>
      <c r="J1183" s="13">
        <f t="shared" si="174"/>
        <v>-8.237200885384414</v>
      </c>
      <c r="K1183" s="10">
        <f t="shared" si="178"/>
        <v>175</v>
      </c>
      <c r="L1183" s="13">
        <f t="shared" si="172"/>
        <v>22.47134975294585</v>
      </c>
      <c r="M1183" s="10">
        <f t="shared" si="173"/>
        <v>0.18563546723152058</v>
      </c>
      <c r="N1183" s="10">
        <f t="shared" si="179"/>
        <v>126.9930255277975</v>
      </c>
      <c r="P1183" s="13">
        <f t="shared" si="176"/>
        <v>14.234148867561437</v>
      </c>
      <c r="Q1183" s="13">
        <f t="shared" si="177"/>
        <v>8.237200885384414</v>
      </c>
    </row>
    <row r="1184" spans="9:17" ht="12.75">
      <c r="I1184" s="2">
        <f t="shared" si="175"/>
        <v>16920</v>
      </c>
      <c r="J1184" s="13">
        <f t="shared" si="174"/>
        <v>-8.233016827882452</v>
      </c>
      <c r="K1184" s="10">
        <f t="shared" si="178"/>
        <v>175</v>
      </c>
      <c r="L1184" s="13">
        <f t="shared" si="172"/>
        <v>22.46716569544389</v>
      </c>
      <c r="M1184" s="10">
        <f t="shared" si="173"/>
        <v>-0.38997716169902574</v>
      </c>
      <c r="N1184" s="10">
        <f t="shared" si="179"/>
        <v>127.00196419609715</v>
      </c>
      <c r="P1184" s="13">
        <f t="shared" si="176"/>
        <v>14.234148867561437</v>
      </c>
      <c r="Q1184" s="13">
        <f t="shared" si="177"/>
        <v>8.233016827882452</v>
      </c>
    </row>
    <row r="1185" spans="9:17" ht="12.75">
      <c r="I1185" s="2">
        <f t="shared" si="175"/>
        <v>16935</v>
      </c>
      <c r="J1185" s="13">
        <f t="shared" si="174"/>
        <v>-8.241806564527796</v>
      </c>
      <c r="K1185" s="10">
        <f t="shared" si="178"/>
        <v>175</v>
      </c>
      <c r="L1185" s="13">
        <f t="shared" si="172"/>
        <v>22.475955432089233</v>
      </c>
      <c r="M1185" s="10">
        <f t="shared" si="173"/>
        <v>0.19024114637490186</v>
      </c>
      <c r="N1185" s="10">
        <f t="shared" si="179"/>
        <v>126.98318612235482</v>
      </c>
      <c r="P1185" s="13">
        <f t="shared" si="176"/>
        <v>14.234148867561437</v>
      </c>
      <c r="Q1185" s="13">
        <f t="shared" si="177"/>
        <v>8.241806564527796</v>
      </c>
    </row>
    <row r="1186" spans="9:17" ht="12.75">
      <c r="I1186" s="2">
        <f t="shared" si="175"/>
        <v>16950</v>
      </c>
      <c r="J1186" s="13">
        <f t="shared" si="174"/>
        <v>-8.23751869913471</v>
      </c>
      <c r="K1186" s="10">
        <f t="shared" si="178"/>
        <v>175</v>
      </c>
      <c r="L1186" s="13">
        <f t="shared" si="172"/>
        <v>22.471667566696148</v>
      </c>
      <c r="M1186" s="10">
        <f t="shared" si="173"/>
        <v>0.18595328098181696</v>
      </c>
      <c r="N1186" s="10">
        <f t="shared" si="179"/>
        <v>126.99234656205823</v>
      </c>
      <c r="P1186" s="13">
        <f t="shared" si="176"/>
        <v>14.234148867561437</v>
      </c>
      <c r="Q1186" s="13">
        <f t="shared" si="177"/>
        <v>8.23751869913471</v>
      </c>
    </row>
    <row r="1187" spans="9:17" ht="12.75">
      <c r="I1187" s="2">
        <f t="shared" si="175"/>
        <v>16965</v>
      </c>
      <c r="J1187" s="13">
        <f t="shared" si="174"/>
        <v>-8.233327478394898</v>
      </c>
      <c r="K1187" s="10">
        <f t="shared" si="178"/>
        <v>175</v>
      </c>
      <c r="L1187" s="13">
        <f t="shared" si="172"/>
        <v>22.467476345956335</v>
      </c>
      <c r="M1187" s="10">
        <f t="shared" si="173"/>
        <v>-0.38966651118657936</v>
      </c>
      <c r="N1187" s="10">
        <f t="shared" si="179"/>
        <v>127.00130053363874</v>
      </c>
      <c r="P1187" s="13">
        <f t="shared" si="176"/>
        <v>14.234148867561437</v>
      </c>
      <c r="Q1187" s="13">
        <f t="shared" si="177"/>
        <v>8.233327478394898</v>
      </c>
    </row>
    <row r="1188" spans="9:17" ht="12.75">
      <c r="I1188" s="2">
        <f t="shared" si="175"/>
        <v>16980</v>
      </c>
      <c r="J1188" s="13">
        <f t="shared" si="174"/>
        <v>-8.242110213255362</v>
      </c>
      <c r="K1188" s="10">
        <f t="shared" si="178"/>
        <v>175</v>
      </c>
      <c r="L1188" s="13">
        <f t="shared" si="172"/>
        <v>22.4762590808168</v>
      </c>
      <c r="M1188" s="10">
        <f t="shared" si="173"/>
        <v>0.19054479510246836</v>
      </c>
      <c r="N1188" s="10">
        <f t="shared" si="179"/>
        <v>126.98253741825502</v>
      </c>
      <c r="P1188" s="13">
        <f t="shared" si="176"/>
        <v>14.234148867561437</v>
      </c>
      <c r="Q1188" s="13">
        <f t="shared" si="177"/>
        <v>8.242110213255362</v>
      </c>
    </row>
    <row r="1189" spans="9:17" ht="12.75">
      <c r="I1189" s="2">
        <f t="shared" si="175"/>
        <v>16995</v>
      </c>
      <c r="J1189" s="13">
        <f t="shared" si="174"/>
        <v>-8.237815503891376</v>
      </c>
      <c r="K1189" s="10">
        <f t="shared" si="178"/>
        <v>175</v>
      </c>
      <c r="L1189" s="13">
        <f t="shared" si="172"/>
        <v>22.471964371452813</v>
      </c>
      <c r="M1189" s="10">
        <f t="shared" si="173"/>
        <v>0.18625008573848234</v>
      </c>
      <c r="N1189" s="10">
        <f t="shared" si="179"/>
        <v>126.991712479169</v>
      </c>
      <c r="P1189" s="13">
        <f t="shared" si="176"/>
        <v>14.234148867561437</v>
      </c>
      <c r="Q1189" s="13">
        <f t="shared" si="177"/>
        <v>8.237815503891376</v>
      </c>
    </row>
    <row r="1190" spans="9:17" ht="12.75">
      <c r="I1190" s="2">
        <f t="shared" si="175"/>
        <v>17010</v>
      </c>
      <c r="J1190" s="13">
        <f t="shared" si="174"/>
        <v>-8.23361759343764</v>
      </c>
      <c r="K1190" s="10">
        <f t="shared" si="178"/>
        <v>175</v>
      </c>
      <c r="L1190" s="13">
        <f t="shared" si="172"/>
        <v>22.467766460999076</v>
      </c>
      <c r="M1190" s="10">
        <f t="shared" si="173"/>
        <v>-0.3893763961438381</v>
      </c>
      <c r="N1190" s="10">
        <f t="shared" si="179"/>
        <v>127.00068074241106</v>
      </c>
      <c r="P1190" s="13">
        <f t="shared" si="176"/>
        <v>14.234148867561437</v>
      </c>
      <c r="Q1190" s="13">
        <f t="shared" si="177"/>
        <v>8.23361759343764</v>
      </c>
    </row>
    <row r="1191" spans="9:17" ht="12.75">
      <c r="I1191" s="2">
        <f t="shared" si="175"/>
        <v>17025</v>
      </c>
      <c r="J1191" s="13">
        <f t="shared" si="174"/>
        <v>-8.24239378936436</v>
      </c>
      <c r="K1191" s="10">
        <f t="shared" si="178"/>
        <v>175</v>
      </c>
      <c r="L1191" s="13">
        <f t="shared" si="172"/>
        <v>22.476542656925798</v>
      </c>
      <c r="M1191" s="10">
        <f t="shared" si="173"/>
        <v>0.19082837121146667</v>
      </c>
      <c r="N1191" s="10">
        <f t="shared" si="179"/>
        <v>126.98193159656762</v>
      </c>
      <c r="P1191" s="13">
        <f t="shared" si="176"/>
        <v>14.234148867561437</v>
      </c>
      <c r="Q1191" s="13">
        <f t="shared" si="177"/>
        <v>8.24239378936436</v>
      </c>
    </row>
    <row r="1192" spans="9:17" ht="12.75">
      <c r="I1192" s="2">
        <f t="shared" si="175"/>
        <v>17040</v>
      </c>
      <c r="J1192" s="13">
        <f t="shared" si="174"/>
        <v>-8.238092688448347</v>
      </c>
      <c r="K1192" s="10">
        <f t="shared" si="178"/>
        <v>175</v>
      </c>
      <c r="L1192" s="13">
        <f t="shared" si="172"/>
        <v>22.472241556009784</v>
      </c>
      <c r="M1192" s="10">
        <f t="shared" si="173"/>
        <v>0.18652727029545346</v>
      </c>
      <c r="N1192" s="10">
        <f t="shared" si="179"/>
        <v>126.99112031216092</v>
      </c>
      <c r="P1192" s="13">
        <f t="shared" si="176"/>
        <v>14.234148867561437</v>
      </c>
      <c r="Q1192" s="13">
        <f t="shared" si="177"/>
        <v>8.238092688448347</v>
      </c>
    </row>
    <row r="1193" spans="9:17" ht="12.75">
      <c r="I1193" s="2">
        <f t="shared" si="175"/>
        <v>17055</v>
      </c>
      <c r="J1193" s="13">
        <f t="shared" si="174"/>
        <v>-8.233888530502462</v>
      </c>
      <c r="K1193" s="10">
        <f t="shared" si="178"/>
        <v>175</v>
      </c>
      <c r="L1193" s="13">
        <f t="shared" si="172"/>
        <v>22.4680373980639</v>
      </c>
      <c r="M1193" s="10">
        <f t="shared" si="173"/>
        <v>-0.3891054590790155</v>
      </c>
      <c r="N1193" s="10">
        <f t="shared" si="179"/>
        <v>127.00010192231804</v>
      </c>
      <c r="P1193" s="13">
        <f t="shared" si="176"/>
        <v>14.234148867561437</v>
      </c>
      <c r="Q1193" s="13">
        <f t="shared" si="177"/>
        <v>8.233888530502462</v>
      </c>
    </row>
    <row r="1194" spans="9:17" ht="12.75">
      <c r="I1194" s="2">
        <f t="shared" si="175"/>
        <v>17070</v>
      </c>
      <c r="J1194" s="13">
        <f t="shared" si="174"/>
        <v>-8.242658619749918</v>
      </c>
      <c r="K1194" s="10">
        <f t="shared" si="178"/>
        <v>175</v>
      </c>
      <c r="L1194" s="13">
        <f t="shared" si="172"/>
        <v>22.476807487311355</v>
      </c>
      <c r="M1194" s="10">
        <f t="shared" si="173"/>
        <v>0.19109320159702392</v>
      </c>
      <c r="N1194" s="10">
        <f t="shared" si="179"/>
        <v>126.98136582256211</v>
      </c>
      <c r="P1194" s="13">
        <f t="shared" si="176"/>
        <v>14.234148867561437</v>
      </c>
      <c r="Q1194" s="13">
        <f t="shared" si="177"/>
        <v>8.242658619749918</v>
      </c>
    </row>
    <row r="1195" spans="9:17" ht="12.75">
      <c r="I1195" s="2">
        <f t="shared" si="175"/>
        <v>17085</v>
      </c>
      <c r="J1195" s="13">
        <f t="shared" si="174"/>
        <v>-8.23835154979373</v>
      </c>
      <c r="K1195" s="10">
        <f t="shared" si="178"/>
        <v>175</v>
      </c>
      <c r="L1195" s="13">
        <f t="shared" si="172"/>
        <v>22.472500417355167</v>
      </c>
      <c r="M1195" s="10">
        <f t="shared" si="173"/>
        <v>0.18678613164083657</v>
      </c>
      <c r="N1195" s="10">
        <f t="shared" si="179"/>
        <v>126.99056729019578</v>
      </c>
      <c r="P1195" s="13">
        <f t="shared" si="176"/>
        <v>14.234148867561437</v>
      </c>
      <c r="Q1195" s="13">
        <f t="shared" si="177"/>
        <v>8.23835154979373</v>
      </c>
    </row>
    <row r="1196" spans="9:17" ht="12.75">
      <c r="I1196" s="2">
        <f t="shared" si="175"/>
        <v>17100</v>
      </c>
      <c r="J1196" s="13">
        <f t="shared" si="174"/>
        <v>-8.234141557344497</v>
      </c>
      <c r="K1196" s="10">
        <f t="shared" si="178"/>
        <v>175</v>
      </c>
      <c r="L1196" s="13">
        <f aca="true" t="shared" si="180" ref="L1196:L1259">(K1196-N1196)/D$12</f>
        <v>22.468290424905934</v>
      </c>
      <c r="M1196" s="10">
        <f t="shared" si="173"/>
        <v>0.1825761391916032</v>
      </c>
      <c r="N1196" s="10">
        <f t="shared" si="179"/>
        <v>126.99956136497369</v>
      </c>
      <c r="P1196" s="13">
        <f t="shared" si="176"/>
        <v>14.234148867561437</v>
      </c>
      <c r="Q1196" s="13">
        <f t="shared" si="177"/>
        <v>8.234141557344497</v>
      </c>
    </row>
    <row r="1197" spans="9:17" ht="12.75">
      <c r="I1197" s="2">
        <f t="shared" si="175"/>
        <v>17115</v>
      </c>
      <c r="J1197" s="13">
        <f t="shared" si="174"/>
        <v>-8.230026454361994</v>
      </c>
      <c r="K1197" s="10">
        <f t="shared" si="178"/>
        <v>175</v>
      </c>
      <c r="L1197" s="13">
        <f t="shared" si="180"/>
        <v>22.46417532192343</v>
      </c>
      <c r="M1197" s="10">
        <f t="shared" si="173"/>
        <v>-0.39296753521948347</v>
      </c>
      <c r="N1197" s="10">
        <f t="shared" si="179"/>
        <v>127.0083527213454</v>
      </c>
      <c r="P1197" s="13">
        <f t="shared" si="176"/>
        <v>14.234148867561437</v>
      </c>
      <c r="Q1197" s="13">
        <f t="shared" si="177"/>
        <v>8.230026454361994</v>
      </c>
    </row>
    <row r="1198" spans="9:17" ht="12.75">
      <c r="I1198" s="2">
        <f t="shared" si="175"/>
        <v>17130</v>
      </c>
      <c r="J1198" s="13">
        <f t="shared" si="174"/>
        <v>-8.238883591353556</v>
      </c>
      <c r="K1198" s="10">
        <f t="shared" si="178"/>
        <v>175</v>
      </c>
      <c r="L1198" s="13">
        <f t="shared" si="180"/>
        <v>22.473032458914993</v>
      </c>
      <c r="M1198" s="10">
        <f aca="true" t="shared" si="181" ref="M1198:M1261">L1198-VLOOKUP(N1198,A$44:C$251,2,TRUE)</f>
        <v>0.18731817320066213</v>
      </c>
      <c r="N1198" s="10">
        <f t="shared" si="179"/>
        <v>126.98943065595434</v>
      </c>
      <c r="P1198" s="13">
        <f t="shared" si="176"/>
        <v>14.234148867561437</v>
      </c>
      <c r="Q1198" s="13">
        <f t="shared" si="177"/>
        <v>8.238883591353556</v>
      </c>
    </row>
    <row r="1199" spans="9:17" ht="12.75">
      <c r="I1199" s="2">
        <f t="shared" si="175"/>
        <v>17145</v>
      </c>
      <c r="J1199" s="13">
        <f t="shared" si="174"/>
        <v>-8.234661607163133</v>
      </c>
      <c r="K1199" s="10">
        <f t="shared" si="178"/>
        <v>175</v>
      </c>
      <c r="L1199" s="13">
        <f t="shared" si="180"/>
        <v>22.46881047472457</v>
      </c>
      <c r="M1199" s="10">
        <f t="shared" si="181"/>
        <v>0.18309618901023939</v>
      </c>
      <c r="N1199" s="10">
        <f t="shared" si="179"/>
        <v>126.99845034945206</v>
      </c>
      <c r="P1199" s="13">
        <f t="shared" si="176"/>
        <v>14.234148867561437</v>
      </c>
      <c r="Q1199" s="13">
        <f t="shared" si="177"/>
        <v>8.234661607163133</v>
      </c>
    </row>
    <row r="1200" spans="9:17" ht="12.75">
      <c r="I1200" s="2">
        <f t="shared" si="175"/>
        <v>17160</v>
      </c>
      <c r="J1200" s="13">
        <f t="shared" si="174"/>
        <v>-8.230534782722561</v>
      </c>
      <c r="K1200" s="10">
        <f t="shared" si="178"/>
        <v>175</v>
      </c>
      <c r="L1200" s="13">
        <f t="shared" si="180"/>
        <v>22.464683650283998</v>
      </c>
      <c r="M1200" s="10">
        <f t="shared" si="181"/>
        <v>-0.39245920685891633</v>
      </c>
      <c r="N1200" s="10">
        <f t="shared" si="179"/>
        <v>127.00726674712055</v>
      </c>
      <c r="P1200" s="13">
        <f t="shared" si="176"/>
        <v>14.234148867561437</v>
      </c>
      <c r="Q1200" s="13">
        <f t="shared" si="177"/>
        <v>8.230534782722561</v>
      </c>
    </row>
    <row r="1201" spans="9:17" ht="12.75">
      <c r="I1201" s="2">
        <f t="shared" si="175"/>
        <v>17175</v>
      </c>
      <c r="J1201" s="13">
        <f t="shared" si="174"/>
        <v>-8.23938046244724</v>
      </c>
      <c r="K1201" s="10">
        <f t="shared" si="178"/>
        <v>175</v>
      </c>
      <c r="L1201" s="13">
        <f t="shared" si="180"/>
        <v>22.473529330008677</v>
      </c>
      <c r="M1201" s="10">
        <f t="shared" si="181"/>
        <v>0.18781504429434648</v>
      </c>
      <c r="N1201" s="10">
        <f t="shared" si="179"/>
        <v>126.98836915861783</v>
      </c>
      <c r="P1201" s="13">
        <f t="shared" si="176"/>
        <v>14.234148867561437</v>
      </c>
      <c r="Q1201" s="13">
        <f t="shared" si="177"/>
        <v>8.23938046244724</v>
      </c>
    </row>
    <row r="1202" spans="9:17" ht="12.75">
      <c r="I1202" s="2">
        <f t="shared" si="175"/>
        <v>17190</v>
      </c>
      <c r="J1202" s="13">
        <f t="shared" si="174"/>
        <v>-8.235147279226485</v>
      </c>
      <c r="K1202" s="10">
        <f t="shared" si="178"/>
        <v>175</v>
      </c>
      <c r="L1202" s="13">
        <f t="shared" si="180"/>
        <v>22.469296146787922</v>
      </c>
      <c r="M1202" s="10">
        <f t="shared" si="181"/>
        <v>0.1835818610735913</v>
      </c>
      <c r="N1202" s="10">
        <f t="shared" si="179"/>
        <v>126.99741277731671</v>
      </c>
      <c r="P1202" s="13">
        <f t="shared" si="176"/>
        <v>14.234148867561437</v>
      </c>
      <c r="Q1202" s="13">
        <f t="shared" si="177"/>
        <v>8.235147279226485</v>
      </c>
    </row>
    <row r="1203" spans="9:17" ht="12.75">
      <c r="I1203" s="2">
        <f t="shared" si="175"/>
        <v>17205</v>
      </c>
      <c r="J1203" s="13">
        <f t="shared" si="174"/>
        <v>-8.231009508171717</v>
      </c>
      <c r="K1203" s="10">
        <f t="shared" si="178"/>
        <v>175</v>
      </c>
      <c r="L1203" s="13">
        <f t="shared" si="180"/>
        <v>22.465158375733154</v>
      </c>
      <c r="M1203" s="10">
        <f t="shared" si="181"/>
        <v>-0.39198448140976083</v>
      </c>
      <c r="N1203" s="10">
        <f t="shared" si="179"/>
        <v>127.00625256093372</v>
      </c>
      <c r="P1203" s="13">
        <f t="shared" si="176"/>
        <v>14.234148867561437</v>
      </c>
      <c r="Q1203" s="13">
        <f t="shared" si="177"/>
        <v>8.231009508171717</v>
      </c>
    </row>
    <row r="1204" spans="9:17" ht="12.75">
      <c r="I1204" s="2">
        <f t="shared" si="175"/>
        <v>17220</v>
      </c>
      <c r="J1204" s="13">
        <f t="shared" si="174"/>
        <v>-8.239844488009101</v>
      </c>
      <c r="K1204" s="10">
        <f t="shared" si="178"/>
        <v>175</v>
      </c>
      <c r="L1204" s="13">
        <f t="shared" si="180"/>
        <v>22.47399335557054</v>
      </c>
      <c r="M1204" s="10">
        <f t="shared" si="181"/>
        <v>0.18827906985620757</v>
      </c>
      <c r="N1204" s="10">
        <f t="shared" si="179"/>
        <v>126.98737783128112</v>
      </c>
      <c r="P1204" s="13">
        <f t="shared" si="176"/>
        <v>14.234148867561437</v>
      </c>
      <c r="Q1204" s="13">
        <f t="shared" si="177"/>
        <v>8.239844488009101</v>
      </c>
    </row>
    <row r="1205" spans="9:17" ht="12.75">
      <c r="I1205" s="2">
        <f t="shared" si="175"/>
        <v>17235</v>
      </c>
      <c r="J1205" s="13">
        <f t="shared" si="174"/>
        <v>-8.235600846066955</v>
      </c>
      <c r="K1205" s="10">
        <f t="shared" si="178"/>
        <v>175</v>
      </c>
      <c r="L1205" s="13">
        <f t="shared" si="180"/>
        <v>22.469749713628392</v>
      </c>
      <c r="M1205" s="10">
        <f t="shared" si="181"/>
        <v>0.18403542791406124</v>
      </c>
      <c r="N1205" s="10">
        <f t="shared" si="179"/>
        <v>126.99644379361207</v>
      </c>
      <c r="P1205" s="13">
        <f t="shared" si="176"/>
        <v>14.234148867561437</v>
      </c>
      <c r="Q1205" s="13">
        <f t="shared" si="177"/>
        <v>8.235600846066955</v>
      </c>
    </row>
    <row r="1206" spans="9:17" ht="12.75">
      <c r="I1206" s="2">
        <f t="shared" si="175"/>
        <v>17250</v>
      </c>
      <c r="J1206" s="13">
        <f t="shared" si="174"/>
        <v>-8.231452852021022</v>
      </c>
      <c r="K1206" s="10">
        <f t="shared" si="178"/>
        <v>175</v>
      </c>
      <c r="L1206" s="13">
        <f t="shared" si="180"/>
        <v>22.46560171958246</v>
      </c>
      <c r="M1206" s="10">
        <f t="shared" si="181"/>
        <v>-0.3915411375604556</v>
      </c>
      <c r="N1206" s="10">
        <f t="shared" si="179"/>
        <v>127.00530541725566</v>
      </c>
      <c r="P1206" s="13">
        <f t="shared" si="176"/>
        <v>14.234148867561437</v>
      </c>
      <c r="Q1206" s="13">
        <f t="shared" si="177"/>
        <v>8.231452852021022</v>
      </c>
    </row>
    <row r="1207" spans="9:17" ht="12.75">
      <c r="I1207" s="2">
        <f t="shared" si="175"/>
        <v>17265</v>
      </c>
      <c r="J1207" s="13">
        <f t="shared" si="174"/>
        <v>-8.240277839284332</v>
      </c>
      <c r="K1207" s="10">
        <f t="shared" si="178"/>
        <v>175</v>
      </c>
      <c r="L1207" s="13">
        <f t="shared" si="180"/>
        <v>22.47442670684577</v>
      </c>
      <c r="M1207" s="10">
        <f t="shared" si="181"/>
        <v>0.18871242113143794</v>
      </c>
      <c r="N1207" s="10">
        <f t="shared" si="179"/>
        <v>126.98645203537495</v>
      </c>
      <c r="P1207" s="13">
        <f t="shared" si="176"/>
        <v>14.234148867561437</v>
      </c>
      <c r="Q1207" s="13">
        <f t="shared" si="177"/>
        <v>8.240277839284332</v>
      </c>
    </row>
    <row r="1208" spans="9:17" ht="12.75">
      <c r="I1208" s="2">
        <f t="shared" si="175"/>
        <v>17280</v>
      </c>
      <c r="J1208" s="13">
        <f aca="true" t="shared" si="182" ref="J1208:J1271">(D$7-K1208)*(1/D$13+1/D$14)+D$16*(D$19*D$21*D$17+D$20*D$22*D$18)*(D$7^4-K1208^4)-(K1208-N1208)/D$12</f>
        <v>-8.23602442999179</v>
      </c>
      <c r="K1208" s="10">
        <f t="shared" si="178"/>
        <v>175</v>
      </c>
      <c r="L1208" s="13">
        <f t="shared" si="180"/>
        <v>22.470173297553227</v>
      </c>
      <c r="M1208" s="10">
        <f t="shared" si="181"/>
        <v>0.18445901183889646</v>
      </c>
      <c r="N1208" s="10">
        <f t="shared" si="179"/>
        <v>126.9955388643181</v>
      </c>
      <c r="P1208" s="13">
        <f t="shared" si="176"/>
        <v>14.234148867561437</v>
      </c>
      <c r="Q1208" s="13">
        <f t="shared" si="177"/>
        <v>8.23602442999179</v>
      </c>
    </row>
    <row r="1209" spans="9:17" ht="12.75">
      <c r="I1209" s="2">
        <f aca="true" t="shared" si="183" ref="I1209:I1272">I1208+I$41</f>
        <v>17295</v>
      </c>
      <c r="J1209" s="13">
        <f t="shared" si="182"/>
        <v>-8.231866888742815</v>
      </c>
      <c r="K1209" s="10">
        <f t="shared" si="178"/>
        <v>175</v>
      </c>
      <c r="L1209" s="13">
        <f t="shared" si="180"/>
        <v>22.46601575630425</v>
      </c>
      <c r="M1209" s="10">
        <f t="shared" si="181"/>
        <v>-0.39112710083866276</v>
      </c>
      <c r="N1209" s="10">
        <f t="shared" si="179"/>
        <v>127.0044208842591</v>
      </c>
      <c r="P1209" s="13">
        <f aca="true" t="shared" si="184" ref="P1209:P1272">(D$7-K1209)*(1/D$13+1/D$14)+D$16*(D$19*D$21*D$17+D$20*D$22*D$18)*(D$7^4-K1209^4)</f>
        <v>14.234148867561437</v>
      </c>
      <c r="Q1209" s="13">
        <f aca="true" t="shared" si="185" ref="Q1209:Q1272">IF(K1209=D$8,-J1209,0)</f>
        <v>8.231866888742815</v>
      </c>
    </row>
    <row r="1210" spans="9:17" ht="12.75">
      <c r="I1210" s="2">
        <f t="shared" si="183"/>
        <v>17310</v>
      </c>
      <c r="J1210" s="13">
        <f t="shared" si="182"/>
        <v>-8.240682543988491</v>
      </c>
      <c r="K1210" s="10">
        <f t="shared" si="178"/>
        <v>175</v>
      </c>
      <c r="L1210" s="13">
        <f t="shared" si="180"/>
        <v>22.47483141154993</v>
      </c>
      <c r="M1210" s="10">
        <f t="shared" si="181"/>
        <v>0.18911712583559748</v>
      </c>
      <c r="N1210" s="10">
        <f t="shared" si="179"/>
        <v>126.98558743896152</v>
      </c>
      <c r="P1210" s="13">
        <f t="shared" si="184"/>
        <v>14.234148867561437</v>
      </c>
      <c r="Q1210" s="13">
        <f t="shared" si="185"/>
        <v>8.240682543988491</v>
      </c>
    </row>
    <row r="1211" spans="9:17" ht="12.75">
      <c r="I1211" s="2">
        <f t="shared" si="183"/>
        <v>17325</v>
      </c>
      <c r="J1211" s="13">
        <f t="shared" si="182"/>
        <v>-8.236420013013664</v>
      </c>
      <c r="K1211" s="10">
        <f t="shared" si="178"/>
        <v>175</v>
      </c>
      <c r="L1211" s="13">
        <f t="shared" si="180"/>
        <v>22.4705688805751</v>
      </c>
      <c r="M1211" s="10">
        <f t="shared" si="181"/>
        <v>0.18485459486077005</v>
      </c>
      <c r="N1211" s="10">
        <f t="shared" si="179"/>
        <v>126.99469375513502</v>
      </c>
      <c r="P1211" s="13">
        <f t="shared" si="184"/>
        <v>14.234148867561437</v>
      </c>
      <c r="Q1211" s="13">
        <f t="shared" si="185"/>
        <v>8.236420013013664</v>
      </c>
    </row>
    <row r="1212" spans="9:17" ht="12.75">
      <c r="I1212" s="2">
        <f t="shared" si="183"/>
        <v>17340</v>
      </c>
      <c r="J1212" s="13">
        <f t="shared" si="182"/>
        <v>-8.232253555676959</v>
      </c>
      <c r="K1212" s="10">
        <f t="shared" si="178"/>
        <v>175</v>
      </c>
      <c r="L1212" s="13">
        <f t="shared" si="180"/>
        <v>22.466402423238396</v>
      </c>
      <c r="M1212" s="10">
        <f t="shared" si="181"/>
        <v>-0.3907404339045186</v>
      </c>
      <c r="N1212" s="10">
        <f t="shared" si="179"/>
        <v>127.00359482308161</v>
      </c>
      <c r="P1212" s="13">
        <f t="shared" si="184"/>
        <v>14.234148867561437</v>
      </c>
      <c r="Q1212" s="13">
        <f t="shared" si="185"/>
        <v>8.232253555676959</v>
      </c>
    </row>
    <row r="1213" spans="9:17" ht="12.75">
      <c r="I1213" s="2">
        <f t="shared" si="183"/>
        <v>17355</v>
      </c>
      <c r="J1213" s="13">
        <f t="shared" si="182"/>
        <v>-8.241060495795562</v>
      </c>
      <c r="K1213" s="10">
        <f t="shared" si="178"/>
        <v>175</v>
      </c>
      <c r="L1213" s="13">
        <f t="shared" si="180"/>
        <v>22.475209363357</v>
      </c>
      <c r="M1213" s="10">
        <f t="shared" si="181"/>
        <v>0.18949507764266826</v>
      </c>
      <c r="N1213" s="10">
        <f t="shared" si="179"/>
        <v>126.9847799964646</v>
      </c>
      <c r="P1213" s="13">
        <f t="shared" si="184"/>
        <v>14.234148867561437</v>
      </c>
      <c r="Q1213" s="13">
        <f t="shared" si="185"/>
        <v>8.241060495795562</v>
      </c>
    </row>
    <row r="1214" spans="9:17" ht="12.75">
      <c r="I1214" s="2">
        <f t="shared" si="183"/>
        <v>17370</v>
      </c>
      <c r="J1214" s="13">
        <f t="shared" si="182"/>
        <v>-8.236789446124828</v>
      </c>
      <c r="K1214" s="10">
        <f t="shared" si="178"/>
        <v>175</v>
      </c>
      <c r="L1214" s="13">
        <f t="shared" si="180"/>
        <v>22.470938313686265</v>
      </c>
      <c r="M1214" s="10">
        <f t="shared" si="181"/>
        <v>0.18522402797193394</v>
      </c>
      <c r="N1214" s="10">
        <f t="shared" si="179"/>
        <v>126.99390451167025</v>
      </c>
      <c r="P1214" s="13">
        <f t="shared" si="184"/>
        <v>14.234148867561437</v>
      </c>
      <c r="Q1214" s="13">
        <f t="shared" si="185"/>
        <v>8.236789446124828</v>
      </c>
    </row>
    <row r="1215" spans="9:17" ht="12.75">
      <c r="I1215" s="2">
        <f t="shared" si="183"/>
        <v>17385</v>
      </c>
      <c r="J1215" s="13">
        <f t="shared" si="182"/>
        <v>-8.232614662096019</v>
      </c>
      <c r="K1215" s="10">
        <f t="shared" si="178"/>
        <v>175</v>
      </c>
      <c r="L1215" s="13">
        <f t="shared" si="180"/>
        <v>22.466763529657456</v>
      </c>
      <c r="M1215" s="10">
        <f t="shared" si="181"/>
        <v>-0.39037932748545856</v>
      </c>
      <c r="N1215" s="10">
        <f t="shared" si="179"/>
        <v>127.00282336845908</v>
      </c>
      <c r="P1215" s="13">
        <f t="shared" si="184"/>
        <v>14.234148867561437</v>
      </c>
      <c r="Q1215" s="13">
        <f t="shared" si="185"/>
        <v>8.232614662096019</v>
      </c>
    </row>
    <row r="1216" spans="9:17" ht="12.75">
      <c r="I1216" s="2">
        <f t="shared" si="183"/>
        <v>17400</v>
      </c>
      <c r="J1216" s="13">
        <f t="shared" si="182"/>
        <v>-8.241413463198711</v>
      </c>
      <c r="K1216" s="10">
        <f t="shared" si="178"/>
        <v>175</v>
      </c>
      <c r="L1216" s="13">
        <f t="shared" si="180"/>
        <v>22.475562330760148</v>
      </c>
      <c r="M1216" s="10">
        <f t="shared" si="181"/>
        <v>0.18984804504581732</v>
      </c>
      <c r="N1216" s="10">
        <f t="shared" si="179"/>
        <v>126.98402592973969</v>
      </c>
      <c r="P1216" s="13">
        <f t="shared" si="184"/>
        <v>14.234148867561437</v>
      </c>
      <c r="Q1216" s="13">
        <f t="shared" si="185"/>
        <v>8.241413463198711</v>
      </c>
    </row>
    <row r="1217" spans="9:17" ht="12.75">
      <c r="I1217" s="2">
        <f t="shared" si="183"/>
        <v>17415</v>
      </c>
      <c r="J1217" s="13">
        <f t="shared" si="182"/>
        <v>-8.237134457958213</v>
      </c>
      <c r="K1217" s="10">
        <f t="shared" si="178"/>
        <v>175</v>
      </c>
      <c r="L1217" s="13">
        <f t="shared" si="180"/>
        <v>22.47128332551965</v>
      </c>
      <c r="M1217" s="10">
        <f t="shared" si="181"/>
        <v>0.18556903980531914</v>
      </c>
      <c r="N1217" s="10">
        <f t="shared" si="179"/>
        <v>126.9931674409353</v>
      </c>
      <c r="P1217" s="13">
        <f t="shared" si="184"/>
        <v>14.234148867561437</v>
      </c>
      <c r="Q1217" s="13">
        <f t="shared" si="185"/>
        <v>8.237134457958213</v>
      </c>
    </row>
    <row r="1218" spans="9:17" ht="12.75">
      <c r="I1218" s="2">
        <f t="shared" si="183"/>
        <v>17430</v>
      </c>
      <c r="J1218" s="13">
        <f t="shared" si="182"/>
        <v>-8.232951897671061</v>
      </c>
      <c r="K1218" s="10">
        <f t="shared" si="178"/>
        <v>175</v>
      </c>
      <c r="L1218" s="13">
        <f t="shared" si="180"/>
        <v>22.467100765232498</v>
      </c>
      <c r="M1218" s="10">
        <f t="shared" si="181"/>
        <v>-0.3900420919104164</v>
      </c>
      <c r="N1218" s="10">
        <f t="shared" si="179"/>
        <v>127.00210291063966</v>
      </c>
      <c r="P1218" s="13">
        <f t="shared" si="184"/>
        <v>14.234148867561437</v>
      </c>
      <c r="Q1218" s="13">
        <f t="shared" si="185"/>
        <v>8.232951897671061</v>
      </c>
    </row>
    <row r="1219" spans="9:17" ht="12.75">
      <c r="I1219" s="2">
        <f t="shared" si="183"/>
        <v>17445</v>
      </c>
      <c r="J1219" s="13">
        <f t="shared" si="182"/>
        <v>-8.241743097785331</v>
      </c>
      <c r="K1219" s="10">
        <f t="shared" si="178"/>
        <v>175</v>
      </c>
      <c r="L1219" s="13">
        <f t="shared" si="180"/>
        <v>22.47589196534677</v>
      </c>
      <c r="M1219" s="10">
        <f t="shared" si="181"/>
        <v>0.1901776796324377</v>
      </c>
      <c r="N1219" s="10">
        <f t="shared" si="179"/>
        <v>126.98332171039554</v>
      </c>
      <c r="P1219" s="13">
        <f t="shared" si="184"/>
        <v>14.234148867561437</v>
      </c>
      <c r="Q1219" s="13">
        <f t="shared" si="185"/>
        <v>8.241743097785331</v>
      </c>
    </row>
    <row r="1220" spans="9:17" ht="12.75">
      <c r="I1220" s="2">
        <f t="shared" si="183"/>
        <v>17460</v>
      </c>
      <c r="J1220" s="13">
        <f t="shared" si="182"/>
        <v>-8.23745666287589</v>
      </c>
      <c r="K1220" s="10">
        <f t="shared" si="178"/>
        <v>175</v>
      </c>
      <c r="L1220" s="13">
        <f t="shared" si="180"/>
        <v>22.471605530437326</v>
      </c>
      <c r="M1220" s="10">
        <f t="shared" si="181"/>
        <v>0.18589124472299545</v>
      </c>
      <c r="N1220" s="10">
        <f t="shared" si="179"/>
        <v>126.99247909406571</v>
      </c>
      <c r="P1220" s="13">
        <f t="shared" si="184"/>
        <v>14.234148867561437</v>
      </c>
      <c r="Q1220" s="13">
        <f t="shared" si="185"/>
        <v>8.23745666287589</v>
      </c>
    </row>
    <row r="1221" spans="9:17" ht="12.75">
      <c r="I1221" s="2">
        <f t="shared" si="183"/>
        <v>17475</v>
      </c>
      <c r="J1221" s="13">
        <f t="shared" si="182"/>
        <v>-8.233266840377897</v>
      </c>
      <c r="K1221" s="10">
        <f t="shared" si="178"/>
        <v>175</v>
      </c>
      <c r="L1221" s="13">
        <f t="shared" si="180"/>
        <v>22.467415707939335</v>
      </c>
      <c r="M1221" s="10">
        <f t="shared" si="181"/>
        <v>-0.38972714920357987</v>
      </c>
      <c r="N1221" s="10">
        <f t="shared" si="179"/>
        <v>127.00143007849324</v>
      </c>
      <c r="P1221" s="13">
        <f t="shared" si="184"/>
        <v>14.234148867561437</v>
      </c>
      <c r="Q1221" s="13">
        <f t="shared" si="185"/>
        <v>8.233266840377897</v>
      </c>
    </row>
    <row r="1222" spans="9:17" ht="12.75">
      <c r="I1222" s="2">
        <f t="shared" si="183"/>
        <v>17490</v>
      </c>
      <c r="J1222" s="13">
        <f t="shared" si="182"/>
        <v>-8.242050941965061</v>
      </c>
      <c r="K1222" s="10">
        <f t="shared" si="178"/>
        <v>175</v>
      </c>
      <c r="L1222" s="13">
        <f t="shared" si="180"/>
        <v>22.4761998095265</v>
      </c>
      <c r="M1222" s="10">
        <f t="shared" si="181"/>
        <v>0.19048552381216766</v>
      </c>
      <c r="N1222" s="10">
        <f t="shared" si="179"/>
        <v>126.9826640432843</v>
      </c>
      <c r="P1222" s="13">
        <f t="shared" si="184"/>
        <v>14.234148867561437</v>
      </c>
      <c r="Q1222" s="13">
        <f t="shared" si="185"/>
        <v>8.242050941965061</v>
      </c>
    </row>
    <row r="1223" spans="9:17" ht="12.75">
      <c r="I1223" s="2">
        <f t="shared" si="183"/>
        <v>17505</v>
      </c>
      <c r="J1223" s="13">
        <f t="shared" si="182"/>
        <v>-8.237757568522973</v>
      </c>
      <c r="K1223" s="10">
        <f t="shared" si="178"/>
        <v>175</v>
      </c>
      <c r="L1223" s="13">
        <f t="shared" si="180"/>
        <v>22.47190643608441</v>
      </c>
      <c r="M1223" s="10">
        <f t="shared" si="181"/>
        <v>0.1861921503700792</v>
      </c>
      <c r="N1223" s="10">
        <f t="shared" si="179"/>
        <v>126.99183625018331</v>
      </c>
      <c r="P1223" s="13">
        <f t="shared" si="184"/>
        <v>14.234148867561437</v>
      </c>
      <c r="Q1223" s="13">
        <f t="shared" si="185"/>
        <v>8.237757568522973</v>
      </c>
    </row>
    <row r="1224" spans="9:17" ht="12.75">
      <c r="I1224" s="2">
        <f t="shared" si="183"/>
        <v>17520</v>
      </c>
      <c r="J1224" s="13">
        <f t="shared" si="182"/>
        <v>-8.233560963880652</v>
      </c>
      <c r="K1224" s="10">
        <f t="shared" si="178"/>
        <v>175</v>
      </c>
      <c r="L1224" s="13">
        <f t="shared" si="180"/>
        <v>22.46770983144209</v>
      </c>
      <c r="M1224" s="10">
        <f t="shared" si="181"/>
        <v>-0.38943302570082494</v>
      </c>
      <c r="N1224" s="10">
        <f t="shared" si="179"/>
        <v>127.00080172373735</v>
      </c>
      <c r="P1224" s="13">
        <f t="shared" si="184"/>
        <v>14.234148867561437</v>
      </c>
      <c r="Q1224" s="13">
        <f t="shared" si="185"/>
        <v>8.233560963880652</v>
      </c>
    </row>
    <row r="1225" spans="9:17" ht="12.75">
      <c r="I1225" s="2">
        <f t="shared" si="183"/>
        <v>17535</v>
      </c>
      <c r="J1225" s="13">
        <f t="shared" si="182"/>
        <v>-8.242338436186973</v>
      </c>
      <c r="K1225" s="10">
        <f t="shared" si="178"/>
        <v>175</v>
      </c>
      <c r="L1225" s="13">
        <f t="shared" si="180"/>
        <v>22.47648730374841</v>
      </c>
      <c r="M1225" s="10">
        <f t="shared" si="181"/>
        <v>0.1907730180340792</v>
      </c>
      <c r="N1225" s="10">
        <f t="shared" si="179"/>
        <v>126.98204985108295</v>
      </c>
      <c r="P1225" s="13">
        <f t="shared" si="184"/>
        <v>14.234148867561437</v>
      </c>
      <c r="Q1225" s="13">
        <f t="shared" si="185"/>
        <v>8.242338436186973</v>
      </c>
    </row>
    <row r="1226" spans="9:17" ht="12.75">
      <c r="I1226" s="2">
        <f t="shared" si="183"/>
        <v>17550</v>
      </c>
      <c r="J1226" s="13">
        <f t="shared" si="182"/>
        <v>-8.238038582882094</v>
      </c>
      <c r="K1226" s="10">
        <f t="shared" si="178"/>
        <v>175</v>
      </c>
      <c r="L1226" s="13">
        <f t="shared" si="180"/>
        <v>22.47218745044353</v>
      </c>
      <c r="M1226" s="10">
        <f t="shared" si="181"/>
        <v>0.1864731647292004</v>
      </c>
      <c r="N1226" s="10">
        <f t="shared" si="179"/>
        <v>126.99123590132518</v>
      </c>
      <c r="P1226" s="13">
        <f t="shared" si="184"/>
        <v>14.234148867561437</v>
      </c>
      <c r="Q1226" s="13">
        <f t="shared" si="185"/>
        <v>8.238038582882094</v>
      </c>
    </row>
    <row r="1227" spans="9:17" ht="12.75">
      <c r="I1227" s="2">
        <f t="shared" si="183"/>
        <v>17565</v>
      </c>
      <c r="J1227" s="13">
        <f t="shared" si="182"/>
        <v>-8.233835644427312</v>
      </c>
      <c r="K1227" s="10">
        <f t="shared" si="178"/>
        <v>175</v>
      </c>
      <c r="L1227" s="13">
        <f t="shared" si="180"/>
        <v>22.46798451198875</v>
      </c>
      <c r="M1227" s="10">
        <f t="shared" si="181"/>
        <v>-0.3891583451541649</v>
      </c>
      <c r="N1227" s="10">
        <f t="shared" si="179"/>
        <v>127.00021490620585</v>
      </c>
      <c r="P1227" s="13">
        <f t="shared" si="184"/>
        <v>14.234148867561437</v>
      </c>
      <c r="Q1227" s="13">
        <f t="shared" si="185"/>
        <v>8.233835644427312</v>
      </c>
    </row>
    <row r="1228" spans="9:17" ht="12.75">
      <c r="I1228" s="2">
        <f t="shared" si="183"/>
        <v>17580</v>
      </c>
      <c r="J1228" s="13">
        <f t="shared" si="182"/>
        <v>-8.242606925679627</v>
      </c>
      <c r="K1228" s="10">
        <f t="shared" si="178"/>
        <v>175</v>
      </c>
      <c r="L1228" s="13">
        <f t="shared" si="180"/>
        <v>22.476755793241065</v>
      </c>
      <c r="M1228" s="10">
        <f t="shared" si="181"/>
        <v>0.19104150752673377</v>
      </c>
      <c r="N1228" s="10">
        <f t="shared" si="179"/>
        <v>126.9814762598941</v>
      </c>
      <c r="P1228" s="13">
        <f t="shared" si="184"/>
        <v>14.234148867561437</v>
      </c>
      <c r="Q1228" s="13">
        <f t="shared" si="185"/>
        <v>8.242606925679627</v>
      </c>
    </row>
    <row r="1229" spans="9:17" ht="12.75">
      <c r="I1229" s="2">
        <f t="shared" si="183"/>
        <v>17595</v>
      </c>
      <c r="J1229" s="13">
        <f t="shared" si="182"/>
        <v>-8.238301020861574</v>
      </c>
      <c r="K1229" s="10">
        <f t="shared" si="178"/>
        <v>175</v>
      </c>
      <c r="L1229" s="13">
        <f t="shared" si="180"/>
        <v>22.47244988842301</v>
      </c>
      <c r="M1229" s="10">
        <f t="shared" si="181"/>
        <v>0.18673560270867995</v>
      </c>
      <c r="N1229" s="10">
        <f t="shared" si="179"/>
        <v>126.99067523836902</v>
      </c>
      <c r="P1229" s="13">
        <f t="shared" si="184"/>
        <v>14.234148867561437</v>
      </c>
      <c r="Q1229" s="13">
        <f t="shared" si="185"/>
        <v>8.238301020861574</v>
      </c>
    </row>
    <row r="1230" spans="9:17" ht="12.75">
      <c r="I1230" s="2">
        <f t="shared" si="183"/>
        <v>17610</v>
      </c>
      <c r="J1230" s="13">
        <f t="shared" si="182"/>
        <v>-8.234092167289312</v>
      </c>
      <c r="K1230" s="10">
        <f t="shared" si="178"/>
        <v>175</v>
      </c>
      <c r="L1230" s="13">
        <f t="shared" si="180"/>
        <v>22.46824103485075</v>
      </c>
      <c r="M1230" s="10">
        <f t="shared" si="181"/>
        <v>0.18252674913641798</v>
      </c>
      <c r="N1230" s="10">
        <f t="shared" si="179"/>
        <v>126.99966688009158</v>
      </c>
      <c r="P1230" s="13">
        <f t="shared" si="184"/>
        <v>14.234148867561437</v>
      </c>
      <c r="Q1230" s="13">
        <f t="shared" si="185"/>
        <v>8.234092167289312</v>
      </c>
    </row>
    <row r="1231" spans="9:17" ht="12.75">
      <c r="I1231" s="2">
        <f t="shared" si="183"/>
        <v>17625</v>
      </c>
      <c r="J1231" s="13">
        <f t="shared" si="182"/>
        <v>-8.2299781775145</v>
      </c>
      <c r="K1231" s="10">
        <f aca="true" t="shared" si="186" ref="K1231:K1294">MAX(D$8,K1230+J1230*I$41/VLOOKUP(K1230,E$44:G$251,3,TRUE))</f>
        <v>175</v>
      </c>
      <c r="L1231" s="13">
        <f t="shared" si="180"/>
        <v>22.464127045075937</v>
      </c>
      <c r="M1231" s="10">
        <f t="shared" si="181"/>
        <v>-0.39301581206697733</v>
      </c>
      <c r="N1231" s="10">
        <f aca="true" t="shared" si="187" ref="N1231:N1294">N1230+M1230*I$41/VLOOKUP(N1230,A$44:C$251,3,TRUE)</f>
        <v>127.00845585824686</v>
      </c>
      <c r="P1231" s="13">
        <f t="shared" si="184"/>
        <v>14.234148867561437</v>
      </c>
      <c r="Q1231" s="13">
        <f t="shared" si="185"/>
        <v>8.2299781775145</v>
      </c>
    </row>
    <row r="1232" spans="9:17" ht="12.75">
      <c r="I1232" s="2">
        <f t="shared" si="183"/>
        <v>17640</v>
      </c>
      <c r="J1232" s="13">
        <f t="shared" si="182"/>
        <v>-8.23883640262305</v>
      </c>
      <c r="K1232" s="10">
        <f t="shared" si="186"/>
        <v>175</v>
      </c>
      <c r="L1232" s="13">
        <f t="shared" si="180"/>
        <v>22.472985270184488</v>
      </c>
      <c r="M1232" s="10">
        <f t="shared" si="181"/>
        <v>0.18727098447015678</v>
      </c>
      <c r="N1232" s="10">
        <f t="shared" si="187"/>
        <v>126.98953146824223</v>
      </c>
      <c r="P1232" s="13">
        <f t="shared" si="184"/>
        <v>14.234148867561437</v>
      </c>
      <c r="Q1232" s="13">
        <f t="shared" si="185"/>
        <v>8.23883640262305</v>
      </c>
    </row>
    <row r="1233" spans="9:17" ht="12.75">
      <c r="I1233" s="2">
        <f t="shared" si="183"/>
        <v>17655</v>
      </c>
      <c r="J1233" s="13">
        <f t="shared" si="182"/>
        <v>-8.23461548202443</v>
      </c>
      <c r="K1233" s="10">
        <f t="shared" si="186"/>
        <v>175</v>
      </c>
      <c r="L1233" s="13">
        <f t="shared" si="180"/>
        <v>22.468764349585868</v>
      </c>
      <c r="M1233" s="10">
        <f t="shared" si="181"/>
        <v>0.1830500638715371</v>
      </c>
      <c r="N1233" s="10">
        <f t="shared" si="187"/>
        <v>126.9985488895211</v>
      </c>
      <c r="P1233" s="13">
        <f t="shared" si="184"/>
        <v>14.234148867561437</v>
      </c>
      <c r="Q1233" s="13">
        <f t="shared" si="185"/>
        <v>8.23461548202443</v>
      </c>
    </row>
    <row r="1234" spans="9:17" ht="12.75">
      <c r="I1234" s="2">
        <f t="shared" si="183"/>
        <v>17670</v>
      </c>
      <c r="J1234" s="13">
        <f t="shared" si="182"/>
        <v>-8.230489697203254</v>
      </c>
      <c r="K1234" s="10">
        <f t="shared" si="186"/>
        <v>175</v>
      </c>
      <c r="L1234" s="13">
        <f t="shared" si="180"/>
        <v>22.46463856476469</v>
      </c>
      <c r="M1234" s="10">
        <f t="shared" si="181"/>
        <v>-0.3925042923782236</v>
      </c>
      <c r="N1234" s="10">
        <f t="shared" si="187"/>
        <v>127.00736306618452</v>
      </c>
      <c r="P1234" s="13">
        <f t="shared" si="184"/>
        <v>14.234148867561437</v>
      </c>
      <c r="Q1234" s="13">
        <f t="shared" si="185"/>
        <v>8.230489697203254</v>
      </c>
    </row>
    <row r="1235" spans="9:17" ht="12.75">
      <c r="I1235" s="2">
        <f t="shared" si="183"/>
        <v>17685</v>
      </c>
      <c r="J1235" s="13">
        <f t="shared" si="182"/>
        <v>-8.239336393115238</v>
      </c>
      <c r="K1235" s="10">
        <f t="shared" si="186"/>
        <v>175</v>
      </c>
      <c r="L1235" s="13">
        <f t="shared" si="180"/>
        <v>22.473485260676675</v>
      </c>
      <c r="M1235" s="10">
        <f t="shared" si="181"/>
        <v>0.18777097496234418</v>
      </c>
      <c r="N1235" s="10">
        <f t="shared" si="187"/>
        <v>126.9884633067362</v>
      </c>
      <c r="P1235" s="13">
        <f t="shared" si="184"/>
        <v>14.234148867561437</v>
      </c>
      <c r="Q1235" s="13">
        <f t="shared" si="185"/>
        <v>8.239336393115238</v>
      </c>
    </row>
    <row r="1236" spans="9:17" ht="12.75">
      <c r="I1236" s="2">
        <f t="shared" si="183"/>
        <v>17700</v>
      </c>
      <c r="J1236" s="13">
        <f t="shared" si="182"/>
        <v>-8.23510420317784</v>
      </c>
      <c r="K1236" s="10">
        <f t="shared" si="186"/>
        <v>175</v>
      </c>
      <c r="L1236" s="13">
        <f t="shared" si="180"/>
        <v>22.469253070739278</v>
      </c>
      <c r="M1236" s="10">
        <f t="shared" si="181"/>
        <v>0.1835387850249468</v>
      </c>
      <c r="N1236" s="10">
        <f t="shared" si="187"/>
        <v>126.99750480342064</v>
      </c>
      <c r="P1236" s="13">
        <f t="shared" si="184"/>
        <v>14.234148867561437</v>
      </c>
      <c r="Q1236" s="13">
        <f t="shared" si="185"/>
        <v>8.23510420317784</v>
      </c>
    </row>
    <row r="1237" spans="9:17" ht="12.75">
      <c r="I1237" s="2">
        <f t="shared" si="183"/>
        <v>17715</v>
      </c>
      <c r="J1237" s="13">
        <f t="shared" si="182"/>
        <v>-8.230967403018706</v>
      </c>
      <c r="K1237" s="10">
        <f t="shared" si="186"/>
        <v>175</v>
      </c>
      <c r="L1237" s="13">
        <f t="shared" si="180"/>
        <v>22.465116270580143</v>
      </c>
      <c r="M1237" s="10">
        <f t="shared" si="181"/>
        <v>-0.39202658656277123</v>
      </c>
      <c r="N1237" s="10">
        <f t="shared" si="187"/>
        <v>127.00634251285152</v>
      </c>
      <c r="P1237" s="13">
        <f t="shared" si="184"/>
        <v>14.234148867561437</v>
      </c>
      <c r="Q1237" s="13">
        <f t="shared" si="185"/>
        <v>8.230967403018706</v>
      </c>
    </row>
    <row r="1238" spans="9:17" ht="12.75">
      <c r="I1238" s="2">
        <f t="shared" si="183"/>
        <v>17730</v>
      </c>
      <c r="J1238" s="13">
        <f t="shared" si="182"/>
        <v>-8.239803331868604</v>
      </c>
      <c r="K1238" s="10">
        <f t="shared" si="186"/>
        <v>175</v>
      </c>
      <c r="L1238" s="13">
        <f t="shared" si="180"/>
        <v>22.47395219943004</v>
      </c>
      <c r="M1238" s="10">
        <f t="shared" si="181"/>
        <v>0.1882379137157102</v>
      </c>
      <c r="N1238" s="10">
        <f t="shared" si="187"/>
        <v>126.9874657557631</v>
      </c>
      <c r="P1238" s="13">
        <f t="shared" si="184"/>
        <v>14.234148867561437</v>
      </c>
      <c r="Q1238" s="13">
        <f t="shared" si="185"/>
        <v>8.239803331868604</v>
      </c>
    </row>
    <row r="1239" spans="9:17" ht="12.75">
      <c r="I1239" s="2">
        <f t="shared" si="183"/>
        <v>17745</v>
      </c>
      <c r="J1239" s="13">
        <f t="shared" si="182"/>
        <v>-8.235560617549076</v>
      </c>
      <c r="K1239" s="10">
        <f t="shared" si="186"/>
        <v>175</v>
      </c>
      <c r="L1239" s="13">
        <f t="shared" si="180"/>
        <v>22.469709485110513</v>
      </c>
      <c r="M1239" s="10">
        <f t="shared" si="181"/>
        <v>0.18399519939618258</v>
      </c>
      <c r="N1239" s="10">
        <f t="shared" si="187"/>
        <v>126.99652973635482</v>
      </c>
      <c r="P1239" s="13">
        <f t="shared" si="184"/>
        <v>14.234148867561437</v>
      </c>
      <c r="Q1239" s="13">
        <f t="shared" si="185"/>
        <v>8.235560617549076</v>
      </c>
    </row>
    <row r="1240" spans="9:17" ht="12.75">
      <c r="I1240" s="2">
        <f t="shared" si="183"/>
        <v>17760</v>
      </c>
      <c r="J1240" s="13">
        <f t="shared" si="182"/>
        <v>-8.231413530217974</v>
      </c>
      <c r="K1240" s="10">
        <f t="shared" si="186"/>
        <v>175</v>
      </c>
      <c r="L1240" s="13">
        <f t="shared" si="180"/>
        <v>22.46556239777941</v>
      </c>
      <c r="M1240" s="10">
        <f t="shared" si="181"/>
        <v>-0.39158045936350305</v>
      </c>
      <c r="N1240" s="10">
        <f t="shared" si="187"/>
        <v>127.0053894229258</v>
      </c>
      <c r="P1240" s="13">
        <f t="shared" si="184"/>
        <v>14.234148867561437</v>
      </c>
      <c r="Q1240" s="13">
        <f t="shared" si="185"/>
        <v>8.231413530217974</v>
      </c>
    </row>
    <row r="1241" spans="9:17" ht="12.75">
      <c r="I1241" s="2">
        <f t="shared" si="183"/>
        <v>17775</v>
      </c>
      <c r="J1241" s="13">
        <f t="shared" si="182"/>
        <v>-8.240239403759578</v>
      </c>
      <c r="K1241" s="10">
        <f t="shared" si="186"/>
        <v>175</v>
      </c>
      <c r="L1241" s="13">
        <f t="shared" si="180"/>
        <v>22.474388271321015</v>
      </c>
      <c r="M1241" s="10">
        <f t="shared" si="181"/>
        <v>0.1886739856066839</v>
      </c>
      <c r="N1241" s="10">
        <f t="shared" si="187"/>
        <v>126.98653414763238</v>
      </c>
      <c r="P1241" s="13">
        <f t="shared" si="184"/>
        <v>14.234148867561437</v>
      </c>
      <c r="Q1241" s="13">
        <f t="shared" si="185"/>
        <v>8.240239403759578</v>
      </c>
    </row>
    <row r="1242" spans="9:17" ht="12.75">
      <c r="I1242" s="2">
        <f t="shared" si="183"/>
        <v>17790</v>
      </c>
      <c r="J1242" s="13">
        <f t="shared" si="182"/>
        <v>-8.235986860769405</v>
      </c>
      <c r="K1242" s="10">
        <f t="shared" si="186"/>
        <v>175</v>
      </c>
      <c r="L1242" s="13">
        <f t="shared" si="180"/>
        <v>22.470135728330842</v>
      </c>
      <c r="M1242" s="10">
        <f t="shared" si="181"/>
        <v>0.18442144261651094</v>
      </c>
      <c r="N1242" s="10">
        <f t="shared" si="187"/>
        <v>126.99561912583866</v>
      </c>
      <c r="P1242" s="13">
        <f t="shared" si="184"/>
        <v>14.234148867561437</v>
      </c>
      <c r="Q1242" s="13">
        <f t="shared" si="185"/>
        <v>8.235986860769405</v>
      </c>
    </row>
    <row r="1243" spans="9:17" ht="12.75">
      <c r="I1243" s="2">
        <f t="shared" si="183"/>
        <v>17805</v>
      </c>
      <c r="J1243" s="13">
        <f t="shared" si="182"/>
        <v>-8.231830166297119</v>
      </c>
      <c r="K1243" s="10">
        <f t="shared" si="186"/>
        <v>175</v>
      </c>
      <c r="L1243" s="13">
        <f t="shared" si="180"/>
        <v>22.465979033858556</v>
      </c>
      <c r="M1243" s="10">
        <f t="shared" si="181"/>
        <v>-0.3911638232843586</v>
      </c>
      <c r="N1243" s="10">
        <f t="shared" si="187"/>
        <v>127.00449933675672</v>
      </c>
      <c r="P1243" s="13">
        <f t="shared" si="184"/>
        <v>14.234148867561437</v>
      </c>
      <c r="Q1243" s="13">
        <f t="shared" si="185"/>
        <v>8.231830166297119</v>
      </c>
    </row>
    <row r="1244" spans="9:17" ht="12.75">
      <c r="I1244" s="2">
        <f t="shared" si="183"/>
        <v>17820</v>
      </c>
      <c r="J1244" s="13">
        <f t="shared" si="182"/>
        <v>-8.240646649233902</v>
      </c>
      <c r="K1244" s="10">
        <f t="shared" si="186"/>
        <v>175</v>
      </c>
      <c r="L1244" s="13">
        <f t="shared" si="180"/>
        <v>22.47479551679534</v>
      </c>
      <c r="M1244" s="10">
        <f t="shared" si="181"/>
        <v>0.18908123108100838</v>
      </c>
      <c r="N1244" s="10">
        <f t="shared" si="187"/>
        <v>126.98566412320996</v>
      </c>
      <c r="P1244" s="13">
        <f t="shared" si="184"/>
        <v>14.234148867561437</v>
      </c>
      <c r="Q1244" s="13">
        <f t="shared" si="185"/>
        <v>8.240646649233902</v>
      </c>
    </row>
    <row r="1245" spans="9:17" ht="12.75">
      <c r="I1245" s="2">
        <f t="shared" si="183"/>
        <v>17835</v>
      </c>
      <c r="J1245" s="13">
        <f t="shared" si="182"/>
        <v>-8.236384927294754</v>
      </c>
      <c r="K1245" s="10">
        <f t="shared" si="186"/>
        <v>175</v>
      </c>
      <c r="L1245" s="13">
        <f t="shared" si="180"/>
        <v>22.47053379485619</v>
      </c>
      <c r="M1245" s="10">
        <f t="shared" si="181"/>
        <v>0.1848195091418603</v>
      </c>
      <c r="N1245" s="10">
        <f t="shared" si="187"/>
        <v>126.99476871098905</v>
      </c>
      <c r="P1245" s="13">
        <f t="shared" si="184"/>
        <v>14.234148867561437</v>
      </c>
      <c r="Q1245" s="13">
        <f t="shared" si="185"/>
        <v>8.236384927294754</v>
      </c>
    </row>
    <row r="1246" spans="9:17" ht="12.75">
      <c r="I1246" s="2">
        <f t="shared" si="183"/>
        <v>17850</v>
      </c>
      <c r="J1246" s="13">
        <f t="shared" si="182"/>
        <v>-8.232219260758793</v>
      </c>
      <c r="K1246" s="10">
        <f t="shared" si="186"/>
        <v>175</v>
      </c>
      <c r="L1246" s="13">
        <f t="shared" si="180"/>
        <v>22.46636812832023</v>
      </c>
      <c r="M1246" s="10">
        <f t="shared" si="181"/>
        <v>-0.3907747288226844</v>
      </c>
      <c r="N1246" s="10">
        <f t="shared" si="187"/>
        <v>127.0036680894977</v>
      </c>
      <c r="P1246" s="13">
        <f t="shared" si="184"/>
        <v>14.234148867561437</v>
      </c>
      <c r="Q1246" s="13">
        <f t="shared" si="185"/>
        <v>8.232219260758793</v>
      </c>
    </row>
    <row r="1247" spans="9:17" ht="12.75">
      <c r="I1247" s="2">
        <f t="shared" si="183"/>
        <v>17865</v>
      </c>
      <c r="J1247" s="13">
        <f t="shared" si="182"/>
        <v>-8.2410269738542</v>
      </c>
      <c r="K1247" s="10">
        <f t="shared" si="186"/>
        <v>175</v>
      </c>
      <c r="L1247" s="13">
        <f t="shared" si="180"/>
        <v>22.475175841415638</v>
      </c>
      <c r="M1247" s="10">
        <f t="shared" si="181"/>
        <v>0.18946155570130685</v>
      </c>
      <c r="N1247" s="10">
        <f t="shared" si="187"/>
        <v>126.98485161152114</v>
      </c>
      <c r="P1247" s="13">
        <f t="shared" si="184"/>
        <v>14.234148867561437</v>
      </c>
      <c r="Q1247" s="13">
        <f t="shared" si="185"/>
        <v>8.2410269738542</v>
      </c>
    </row>
    <row r="1248" spans="9:17" ht="12.75">
      <c r="I1248" s="2">
        <f t="shared" si="183"/>
        <v>17880</v>
      </c>
      <c r="J1248" s="13">
        <f t="shared" si="182"/>
        <v>-8.236756679738065</v>
      </c>
      <c r="K1248" s="10">
        <f t="shared" si="186"/>
        <v>175</v>
      </c>
      <c r="L1248" s="13">
        <f t="shared" si="180"/>
        <v>22.470905547299502</v>
      </c>
      <c r="M1248" s="10">
        <f t="shared" si="181"/>
        <v>0.18519126158517096</v>
      </c>
      <c r="N1248" s="10">
        <f t="shared" si="187"/>
        <v>126.99397451258743</v>
      </c>
      <c r="P1248" s="13">
        <f t="shared" si="184"/>
        <v>14.234148867561437</v>
      </c>
      <c r="Q1248" s="13">
        <f t="shared" si="185"/>
        <v>8.236756679738065</v>
      </c>
    </row>
    <row r="1249" spans="9:17" ht="12.75">
      <c r="I1249" s="2">
        <f t="shared" si="183"/>
        <v>17895</v>
      </c>
      <c r="J1249" s="13">
        <f t="shared" si="182"/>
        <v>-8.232582634234323</v>
      </c>
      <c r="K1249" s="10">
        <f t="shared" si="186"/>
        <v>175</v>
      </c>
      <c r="L1249" s="13">
        <f t="shared" si="180"/>
        <v>22.46673150179576</v>
      </c>
      <c r="M1249" s="10">
        <f t="shared" si="181"/>
        <v>-0.39041135534715465</v>
      </c>
      <c r="N1249" s="10">
        <f t="shared" si="187"/>
        <v>127.00289179161815</v>
      </c>
      <c r="P1249" s="13">
        <f t="shared" si="184"/>
        <v>14.234148867561437</v>
      </c>
      <c r="Q1249" s="13">
        <f t="shared" si="185"/>
        <v>8.232582634234323</v>
      </c>
    </row>
    <row r="1250" spans="9:17" ht="12.75">
      <c r="I1250" s="2">
        <f t="shared" si="183"/>
        <v>17910</v>
      </c>
      <c r="J1250" s="13">
        <f t="shared" si="182"/>
        <v>-8.241382157216385</v>
      </c>
      <c r="K1250" s="10">
        <f t="shared" si="186"/>
        <v>175</v>
      </c>
      <c r="L1250" s="13">
        <f t="shared" si="180"/>
        <v>22.475531024777823</v>
      </c>
      <c r="M1250" s="10">
        <f t="shared" si="181"/>
        <v>0.18981673906349172</v>
      </c>
      <c r="N1250" s="10">
        <f t="shared" si="187"/>
        <v>126.98409281070192</v>
      </c>
      <c r="P1250" s="13">
        <f t="shared" si="184"/>
        <v>14.234148867561437</v>
      </c>
      <c r="Q1250" s="13">
        <f t="shared" si="185"/>
        <v>8.241382157216385</v>
      </c>
    </row>
    <row r="1251" spans="9:17" ht="12.75">
      <c r="I1251" s="2">
        <f t="shared" si="183"/>
        <v>17925</v>
      </c>
      <c r="J1251" s="13">
        <f t="shared" si="182"/>
        <v>-8.237103857584746</v>
      </c>
      <c r="K1251" s="10">
        <f t="shared" si="186"/>
        <v>175</v>
      </c>
      <c r="L1251" s="13">
        <f t="shared" si="180"/>
        <v>22.471252725146183</v>
      </c>
      <c r="M1251" s="10">
        <f t="shared" si="181"/>
        <v>0.185538439431852</v>
      </c>
      <c r="N1251" s="10">
        <f t="shared" si="187"/>
        <v>126.99323281446043</v>
      </c>
      <c r="P1251" s="13">
        <f t="shared" si="184"/>
        <v>14.234148867561437</v>
      </c>
      <c r="Q1251" s="13">
        <f t="shared" si="185"/>
        <v>8.237103857584746</v>
      </c>
    </row>
    <row r="1252" spans="9:17" ht="12.75">
      <c r="I1252" s="2">
        <f t="shared" si="183"/>
        <v>17940</v>
      </c>
      <c r="J1252" s="13">
        <f t="shared" si="182"/>
        <v>-8.232921987002666</v>
      </c>
      <c r="K1252" s="10">
        <f t="shared" si="186"/>
        <v>175</v>
      </c>
      <c r="L1252" s="13">
        <f t="shared" si="180"/>
        <v>22.467070854564103</v>
      </c>
      <c r="M1252" s="10">
        <f t="shared" si="181"/>
        <v>-0.3900720025788118</v>
      </c>
      <c r="N1252" s="10">
        <f t="shared" si="187"/>
        <v>127.00216681070397</v>
      </c>
      <c r="P1252" s="13">
        <f t="shared" si="184"/>
        <v>14.234148867561437</v>
      </c>
      <c r="Q1252" s="13">
        <f t="shared" si="185"/>
        <v>8.232921987002666</v>
      </c>
    </row>
    <row r="1253" spans="9:17" ht="12.75">
      <c r="I1253" s="2">
        <f t="shared" si="183"/>
        <v>17955</v>
      </c>
      <c r="J1253" s="13">
        <f t="shared" si="182"/>
        <v>-8.241713861276661</v>
      </c>
      <c r="K1253" s="10">
        <f t="shared" si="186"/>
        <v>175</v>
      </c>
      <c r="L1253" s="13">
        <f t="shared" si="180"/>
        <v>22.4758627288381</v>
      </c>
      <c r="M1253" s="10">
        <f t="shared" si="181"/>
        <v>0.19014844312376766</v>
      </c>
      <c r="N1253" s="10">
        <f t="shared" si="187"/>
        <v>126.98338417020952</v>
      </c>
      <c r="P1253" s="13">
        <f t="shared" si="184"/>
        <v>14.234148867561437</v>
      </c>
      <c r="Q1253" s="13">
        <f t="shared" si="185"/>
        <v>8.241713861276661</v>
      </c>
    </row>
    <row r="1254" spans="9:17" ht="12.75">
      <c r="I1254" s="2">
        <f t="shared" si="183"/>
        <v>17970</v>
      </c>
      <c r="J1254" s="13">
        <f t="shared" si="182"/>
        <v>-8.237428085331992</v>
      </c>
      <c r="K1254" s="10">
        <f t="shared" si="186"/>
        <v>175</v>
      </c>
      <c r="L1254" s="13">
        <f t="shared" si="180"/>
        <v>22.47157695289343</v>
      </c>
      <c r="M1254" s="10">
        <f t="shared" si="181"/>
        <v>0.18586266717909794</v>
      </c>
      <c r="N1254" s="10">
        <f t="shared" si="187"/>
        <v>126.99254014609132</v>
      </c>
      <c r="P1254" s="13">
        <f t="shared" si="184"/>
        <v>14.234148867561437</v>
      </c>
      <c r="Q1254" s="13">
        <f t="shared" si="185"/>
        <v>8.237428085331992</v>
      </c>
    </row>
    <row r="1255" spans="9:17" ht="12.75">
      <c r="I1255" s="2">
        <f t="shared" si="183"/>
        <v>17985</v>
      </c>
      <c r="J1255" s="13">
        <f t="shared" si="182"/>
        <v>-8.23323890694629</v>
      </c>
      <c r="K1255" s="10">
        <f t="shared" si="186"/>
        <v>175</v>
      </c>
      <c r="L1255" s="13">
        <f t="shared" si="180"/>
        <v>22.467387774507728</v>
      </c>
      <c r="M1255" s="10">
        <f t="shared" si="181"/>
        <v>-0.38975508263518677</v>
      </c>
      <c r="N1255" s="10">
        <f t="shared" si="187"/>
        <v>127.00148975446076</v>
      </c>
      <c r="P1255" s="13">
        <f t="shared" si="184"/>
        <v>14.234148867561437</v>
      </c>
      <c r="Q1255" s="13">
        <f t="shared" si="185"/>
        <v>8.23323890694629</v>
      </c>
    </row>
    <row r="1256" spans="9:17" ht="12.75">
      <c r="I1256" s="2">
        <f t="shared" si="183"/>
        <v>18000</v>
      </c>
      <c r="J1256" s="13">
        <f t="shared" si="182"/>
        <v>-8.242023638128039</v>
      </c>
      <c r="K1256" s="10">
        <f t="shared" si="186"/>
        <v>175</v>
      </c>
      <c r="L1256" s="13">
        <f t="shared" si="180"/>
        <v>22.476172505689476</v>
      </c>
      <c r="M1256" s="10">
        <f t="shared" si="181"/>
        <v>0.19045821997514523</v>
      </c>
      <c r="N1256" s="10">
        <f t="shared" si="187"/>
        <v>126.98272237420885</v>
      </c>
      <c r="P1256" s="13">
        <f t="shared" si="184"/>
        <v>14.234148867561437</v>
      </c>
      <c r="Q1256" s="13">
        <f t="shared" si="185"/>
        <v>8.242023638128039</v>
      </c>
    </row>
    <row r="1257" spans="9:17" ht="12.75">
      <c r="I1257" s="2">
        <f t="shared" si="183"/>
        <v>18015</v>
      </c>
      <c r="J1257" s="13">
        <f t="shared" si="182"/>
        <v>-8.23773088009003</v>
      </c>
      <c r="K1257" s="10">
        <f t="shared" si="186"/>
        <v>175</v>
      </c>
      <c r="L1257" s="13">
        <f t="shared" si="180"/>
        <v>22.471879747651467</v>
      </c>
      <c r="M1257" s="10">
        <f t="shared" si="181"/>
        <v>0.18616546193713646</v>
      </c>
      <c r="N1257" s="10">
        <f t="shared" si="187"/>
        <v>126.99189326638096</v>
      </c>
      <c r="P1257" s="13">
        <f t="shared" si="184"/>
        <v>14.234148867561437</v>
      </c>
      <c r="Q1257" s="13">
        <f t="shared" si="185"/>
        <v>8.23773088009003</v>
      </c>
    </row>
    <row r="1258" spans="9:17" ht="12.75">
      <c r="I1258" s="2">
        <f t="shared" si="183"/>
        <v>18030</v>
      </c>
      <c r="J1258" s="13">
        <f t="shared" si="182"/>
        <v>-8.233534876981143</v>
      </c>
      <c r="K1258" s="10">
        <f t="shared" si="186"/>
        <v>175</v>
      </c>
      <c r="L1258" s="13">
        <f t="shared" si="180"/>
        <v>22.46768374454258</v>
      </c>
      <c r="M1258" s="10">
        <f t="shared" si="181"/>
        <v>-0.38945911260033483</v>
      </c>
      <c r="N1258" s="10">
        <f t="shared" si="187"/>
        <v>127.00085745484085</v>
      </c>
      <c r="P1258" s="13">
        <f t="shared" si="184"/>
        <v>14.234148867561437</v>
      </c>
      <c r="Q1258" s="13">
        <f t="shared" si="185"/>
        <v>8.233534876981143</v>
      </c>
    </row>
    <row r="1259" spans="9:17" ht="12.75">
      <c r="I1259" s="2">
        <f t="shared" si="183"/>
        <v>18045</v>
      </c>
      <c r="J1259" s="13">
        <f t="shared" si="182"/>
        <v>-8.242312937262856</v>
      </c>
      <c r="K1259" s="10">
        <f t="shared" si="186"/>
        <v>175</v>
      </c>
      <c r="L1259" s="13">
        <f t="shared" si="180"/>
        <v>22.476461804824293</v>
      </c>
      <c r="M1259" s="10">
        <f t="shared" si="181"/>
        <v>0.19074751910996213</v>
      </c>
      <c r="N1259" s="10">
        <f t="shared" si="187"/>
        <v>126.9821043260572</v>
      </c>
      <c r="P1259" s="13">
        <f t="shared" si="184"/>
        <v>14.234148867561437</v>
      </c>
      <c r="Q1259" s="13">
        <f t="shared" si="185"/>
        <v>8.242312937262856</v>
      </c>
    </row>
    <row r="1260" spans="9:17" ht="12.75">
      <c r="I1260" s="2">
        <f t="shared" si="183"/>
        <v>18060</v>
      </c>
      <c r="J1260" s="13">
        <f t="shared" si="182"/>
        <v>-8.238013658680941</v>
      </c>
      <c r="K1260" s="10">
        <f t="shared" si="186"/>
        <v>175</v>
      </c>
      <c r="L1260" s="13">
        <f aca="true" t="shared" si="188" ref="L1260:L1323">(K1260-N1260)/D$12</f>
        <v>22.47216252624238</v>
      </c>
      <c r="M1260" s="10">
        <f t="shared" si="181"/>
        <v>0.18644824052804765</v>
      </c>
      <c r="N1260" s="10">
        <f t="shared" si="187"/>
        <v>126.9912891484822</v>
      </c>
      <c r="P1260" s="13">
        <f t="shared" si="184"/>
        <v>14.234148867561437</v>
      </c>
      <c r="Q1260" s="13">
        <f t="shared" si="185"/>
        <v>8.238013658680941</v>
      </c>
    </row>
    <row r="1261" spans="9:17" ht="12.75">
      <c r="I1261" s="2">
        <f t="shared" si="183"/>
        <v>18075</v>
      </c>
      <c r="J1261" s="13">
        <f t="shared" si="182"/>
        <v>-8.233811281995369</v>
      </c>
      <c r="K1261" s="10">
        <f t="shared" si="186"/>
        <v>175</v>
      </c>
      <c r="L1261" s="13">
        <f t="shared" si="188"/>
        <v>22.467960149556806</v>
      </c>
      <c r="M1261" s="10">
        <f t="shared" si="181"/>
        <v>-0.38918270758610873</v>
      </c>
      <c r="N1261" s="10">
        <f t="shared" si="187"/>
        <v>127.00026695321955</v>
      </c>
      <c r="P1261" s="13">
        <f t="shared" si="184"/>
        <v>14.234148867561437</v>
      </c>
      <c r="Q1261" s="13">
        <f t="shared" si="185"/>
        <v>8.233811281995369</v>
      </c>
    </row>
    <row r="1262" spans="9:17" ht="12.75">
      <c r="I1262" s="2">
        <f t="shared" si="183"/>
        <v>18090</v>
      </c>
      <c r="J1262" s="13">
        <f t="shared" si="182"/>
        <v>-8.242583112355124</v>
      </c>
      <c r="K1262" s="10">
        <f t="shared" si="186"/>
        <v>175</v>
      </c>
      <c r="L1262" s="13">
        <f t="shared" si="188"/>
        <v>22.47673197991656</v>
      </c>
      <c r="M1262" s="10">
        <f aca="true" t="shared" si="189" ref="M1262:M1325">L1262-VLOOKUP(N1262,A$44:C$251,2,TRUE)</f>
        <v>0.19101769420223036</v>
      </c>
      <c r="N1262" s="10">
        <f t="shared" si="187"/>
        <v>126.98152713381462</v>
      </c>
      <c r="P1262" s="13">
        <f t="shared" si="184"/>
        <v>14.234148867561437</v>
      </c>
      <c r="Q1262" s="13">
        <f t="shared" si="185"/>
        <v>8.242583112355124</v>
      </c>
    </row>
    <row r="1263" spans="9:17" ht="12.75">
      <c r="I1263" s="2">
        <f t="shared" si="183"/>
        <v>18105</v>
      </c>
      <c r="J1263" s="13">
        <f t="shared" si="182"/>
        <v>-8.238277744268121</v>
      </c>
      <c r="K1263" s="10">
        <f t="shared" si="186"/>
        <v>175</v>
      </c>
      <c r="L1263" s="13">
        <f t="shared" si="188"/>
        <v>22.472426611829558</v>
      </c>
      <c r="M1263" s="10">
        <f t="shared" si="189"/>
        <v>0.18671232611522726</v>
      </c>
      <c r="N1263" s="10">
        <f t="shared" si="187"/>
        <v>126.99072496563686</v>
      </c>
      <c r="P1263" s="13">
        <f t="shared" si="184"/>
        <v>14.234148867561437</v>
      </c>
      <c r="Q1263" s="13">
        <f t="shared" si="185"/>
        <v>8.238277744268121</v>
      </c>
    </row>
    <row r="1264" spans="9:17" ht="12.75">
      <c r="I1264" s="2">
        <f t="shared" si="183"/>
        <v>18120</v>
      </c>
      <c r="J1264" s="13">
        <f t="shared" si="182"/>
        <v>-8.234069415329468</v>
      </c>
      <c r="K1264" s="10">
        <f t="shared" si="186"/>
        <v>175</v>
      </c>
      <c r="L1264" s="13">
        <f t="shared" si="188"/>
        <v>22.468218282890906</v>
      </c>
      <c r="M1264" s="10">
        <f t="shared" si="189"/>
        <v>0.18250399717657473</v>
      </c>
      <c r="N1264" s="10">
        <f t="shared" si="187"/>
        <v>126.99971548655125</v>
      </c>
      <c r="P1264" s="13">
        <f t="shared" si="184"/>
        <v>14.234148867561437</v>
      </c>
      <c r="Q1264" s="13">
        <f t="shared" si="185"/>
        <v>8.234069415329468</v>
      </c>
    </row>
    <row r="1265" spans="9:17" ht="12.75">
      <c r="I1265" s="2">
        <f t="shared" si="183"/>
        <v>18135</v>
      </c>
      <c r="J1265" s="13">
        <f t="shared" si="182"/>
        <v>-8.229955938363492</v>
      </c>
      <c r="K1265" s="10">
        <f t="shared" si="186"/>
        <v>175</v>
      </c>
      <c r="L1265" s="13">
        <f t="shared" si="188"/>
        <v>22.46410480592493</v>
      </c>
      <c r="M1265" s="10">
        <f t="shared" si="189"/>
        <v>-0.3930380512179852</v>
      </c>
      <c r="N1265" s="10">
        <f t="shared" si="187"/>
        <v>127.00850336916038</v>
      </c>
      <c r="P1265" s="13">
        <f t="shared" si="184"/>
        <v>14.234148867561437</v>
      </c>
      <c r="Q1265" s="13">
        <f t="shared" si="185"/>
        <v>8.229955938363492</v>
      </c>
    </row>
    <row r="1266" spans="9:17" ht="12.75">
      <c r="I1266" s="2">
        <f t="shared" si="183"/>
        <v>18150</v>
      </c>
      <c r="J1266" s="13">
        <f t="shared" si="182"/>
        <v>-8.238814664722629</v>
      </c>
      <c r="K1266" s="10">
        <f t="shared" si="186"/>
        <v>175</v>
      </c>
      <c r="L1266" s="13">
        <f t="shared" si="188"/>
        <v>22.472963532284066</v>
      </c>
      <c r="M1266" s="10">
        <f t="shared" si="189"/>
        <v>0.18724924656973485</v>
      </c>
      <c r="N1266" s="10">
        <f t="shared" si="187"/>
        <v>126.98957790830222</v>
      </c>
      <c r="P1266" s="13">
        <f t="shared" si="184"/>
        <v>14.234148867561437</v>
      </c>
      <c r="Q1266" s="13">
        <f t="shared" si="185"/>
        <v>8.238814664722629</v>
      </c>
    </row>
    <row r="1267" spans="9:17" ht="12.75">
      <c r="I1267" s="2">
        <f t="shared" si="183"/>
        <v>18165</v>
      </c>
      <c r="J1267" s="13">
        <f t="shared" si="182"/>
        <v>-8.234594234076855</v>
      </c>
      <c r="K1267" s="10">
        <f t="shared" si="186"/>
        <v>175</v>
      </c>
      <c r="L1267" s="13">
        <f t="shared" si="188"/>
        <v>22.468743101638292</v>
      </c>
      <c r="M1267" s="10">
        <f t="shared" si="189"/>
        <v>0.18302881592396147</v>
      </c>
      <c r="N1267" s="10">
        <f t="shared" si="187"/>
        <v>126.99859428286365</v>
      </c>
      <c r="P1267" s="13">
        <f t="shared" si="184"/>
        <v>14.234148867561437</v>
      </c>
      <c r="Q1267" s="13">
        <f t="shared" si="185"/>
        <v>8.234594234076855</v>
      </c>
    </row>
    <row r="1268" spans="9:17" ht="12.75">
      <c r="I1268" s="2">
        <f t="shared" si="183"/>
        <v>18180</v>
      </c>
      <c r="J1268" s="13">
        <f t="shared" si="182"/>
        <v>-8.230468928165426</v>
      </c>
      <c r="K1268" s="10">
        <f t="shared" si="186"/>
        <v>175</v>
      </c>
      <c r="L1268" s="13">
        <f t="shared" si="188"/>
        <v>22.464617795726863</v>
      </c>
      <c r="M1268" s="10">
        <f t="shared" si="189"/>
        <v>-0.3925250614160518</v>
      </c>
      <c r="N1268" s="10">
        <f t="shared" si="187"/>
        <v>127.0074074364017</v>
      </c>
      <c r="P1268" s="13">
        <f t="shared" si="184"/>
        <v>14.234148867561437</v>
      </c>
      <c r="Q1268" s="13">
        <f t="shared" si="185"/>
        <v>8.230468928165426</v>
      </c>
    </row>
    <row r="1269" spans="9:17" ht="12.75">
      <c r="I1269" s="2">
        <f t="shared" si="183"/>
        <v>18195</v>
      </c>
      <c r="J1269" s="13">
        <f t="shared" si="182"/>
        <v>-8.239316092192961</v>
      </c>
      <c r="K1269" s="10">
        <f t="shared" si="186"/>
        <v>175</v>
      </c>
      <c r="L1269" s="13">
        <f t="shared" si="188"/>
        <v>22.4734649597544</v>
      </c>
      <c r="M1269" s="10">
        <f t="shared" si="189"/>
        <v>0.18775067404006762</v>
      </c>
      <c r="N1269" s="10">
        <f t="shared" si="187"/>
        <v>126.98850667688833</v>
      </c>
      <c r="P1269" s="13">
        <f t="shared" si="184"/>
        <v>14.234148867561437</v>
      </c>
      <c r="Q1269" s="13">
        <f t="shared" si="185"/>
        <v>8.239316092192961</v>
      </c>
    </row>
    <row r="1270" spans="9:17" ht="12.75">
      <c r="I1270" s="2">
        <f t="shared" si="183"/>
        <v>18210</v>
      </c>
      <c r="J1270" s="13">
        <f t="shared" si="182"/>
        <v>-8.235084359820203</v>
      </c>
      <c r="K1270" s="10">
        <f t="shared" si="186"/>
        <v>175</v>
      </c>
      <c r="L1270" s="13">
        <f t="shared" si="188"/>
        <v>22.46923322738164</v>
      </c>
      <c r="M1270" s="10">
        <f t="shared" si="189"/>
        <v>0.18351894166730887</v>
      </c>
      <c r="N1270" s="10">
        <f t="shared" si="187"/>
        <v>126.99754719604832</v>
      </c>
      <c r="P1270" s="13">
        <f t="shared" si="184"/>
        <v>14.234148867561437</v>
      </c>
      <c r="Q1270" s="13">
        <f t="shared" si="185"/>
        <v>8.235084359820203</v>
      </c>
    </row>
    <row r="1271" spans="9:17" ht="12.75">
      <c r="I1271" s="2">
        <f t="shared" si="183"/>
        <v>18225</v>
      </c>
      <c r="J1271" s="13">
        <f t="shared" si="182"/>
        <v>-8.230948006912616</v>
      </c>
      <c r="K1271" s="10">
        <f t="shared" si="186"/>
        <v>175</v>
      </c>
      <c r="L1271" s="13">
        <f t="shared" si="188"/>
        <v>22.465096874474053</v>
      </c>
      <c r="M1271" s="10">
        <f t="shared" si="189"/>
        <v>-0.39204598266886137</v>
      </c>
      <c r="N1271" s="10">
        <f t="shared" si="187"/>
        <v>127.00638394998725</v>
      </c>
      <c r="P1271" s="13">
        <f t="shared" si="184"/>
        <v>14.234148867561437</v>
      </c>
      <c r="Q1271" s="13">
        <f t="shared" si="185"/>
        <v>8.230948006912616</v>
      </c>
    </row>
    <row r="1272" spans="9:17" ht="12.75">
      <c r="I1272" s="2">
        <f t="shared" si="183"/>
        <v>18240</v>
      </c>
      <c r="J1272" s="13">
        <f aca="true" t="shared" si="190" ref="J1272:J1335">(D$7-K1272)*(1/D$13+1/D$14)+D$16*(D$19*D$21*D$17+D$20*D$22*D$18)*(D$7^4-K1272^4)-(K1272-N1272)/D$12</f>
        <v>-8.23978437293341</v>
      </c>
      <c r="K1272" s="10">
        <f t="shared" si="186"/>
        <v>175</v>
      </c>
      <c r="L1272" s="13">
        <f t="shared" si="188"/>
        <v>22.473933240494848</v>
      </c>
      <c r="M1272" s="10">
        <f t="shared" si="189"/>
        <v>0.18821895478051687</v>
      </c>
      <c r="N1272" s="10">
        <f t="shared" si="187"/>
        <v>126.98750625894283</v>
      </c>
      <c r="P1272" s="13">
        <f t="shared" si="184"/>
        <v>14.234148867561437</v>
      </c>
      <c r="Q1272" s="13">
        <f t="shared" si="185"/>
        <v>8.23978437293341</v>
      </c>
    </row>
    <row r="1273" spans="9:17" ht="12.75">
      <c r="I1273" s="2">
        <f aca="true" t="shared" si="191" ref="I1273:I1336">I1272+I$41</f>
        <v>18255</v>
      </c>
      <c r="J1273" s="13">
        <f t="shared" si="190"/>
        <v>-8.235542085931332</v>
      </c>
      <c r="K1273" s="10">
        <f t="shared" si="186"/>
        <v>175</v>
      </c>
      <c r="L1273" s="13">
        <f t="shared" si="188"/>
        <v>22.46969095349277</v>
      </c>
      <c r="M1273" s="10">
        <f t="shared" si="189"/>
        <v>0.18397666777843824</v>
      </c>
      <c r="N1273" s="10">
        <f t="shared" si="187"/>
        <v>126.99656932662909</v>
      </c>
      <c r="P1273" s="13">
        <f aca="true" t="shared" si="192" ref="P1273:P1336">(D$7-K1273)*(1/D$13+1/D$14)+D$16*(D$19*D$21*D$17+D$20*D$22*D$18)*(D$7^4-K1273^4)</f>
        <v>14.234148867561437</v>
      </c>
      <c r="Q1273" s="13">
        <f aca="true" t="shared" si="193" ref="Q1273:Q1336">IF(K1273=D$8,-J1273,0)</f>
        <v>8.235542085931332</v>
      </c>
    </row>
    <row r="1274" spans="9:17" ht="12.75">
      <c r="I1274" s="2">
        <f t="shared" si="191"/>
        <v>18270</v>
      </c>
      <c r="J1274" s="13">
        <f t="shared" si="190"/>
        <v>-8.231395416286333</v>
      </c>
      <c r="K1274" s="10">
        <f t="shared" si="186"/>
        <v>175</v>
      </c>
      <c r="L1274" s="13">
        <f t="shared" si="188"/>
        <v>22.46554428384777</v>
      </c>
      <c r="M1274" s="10">
        <f t="shared" si="189"/>
        <v>-0.3915985732951448</v>
      </c>
      <c r="N1274" s="10">
        <f t="shared" si="187"/>
        <v>127.00542812087068</v>
      </c>
      <c r="P1274" s="13">
        <f t="shared" si="192"/>
        <v>14.234148867561437</v>
      </c>
      <c r="Q1274" s="13">
        <f t="shared" si="193"/>
        <v>8.231395416286333</v>
      </c>
    </row>
    <row r="1275" spans="9:17" ht="12.75">
      <c r="I1275" s="2">
        <f t="shared" si="191"/>
        <v>18285</v>
      </c>
      <c r="J1275" s="13">
        <f t="shared" si="190"/>
        <v>-8.24022169809976</v>
      </c>
      <c r="K1275" s="10">
        <f t="shared" si="186"/>
        <v>175</v>
      </c>
      <c r="L1275" s="13">
        <f t="shared" si="188"/>
        <v>22.474370565661197</v>
      </c>
      <c r="M1275" s="10">
        <f t="shared" si="189"/>
        <v>0.18865627994686562</v>
      </c>
      <c r="N1275" s="10">
        <f t="shared" si="187"/>
        <v>126.98657197336017</v>
      </c>
      <c r="P1275" s="13">
        <f t="shared" si="192"/>
        <v>14.234148867561437</v>
      </c>
      <c r="Q1275" s="13">
        <f t="shared" si="193"/>
        <v>8.24022169809976</v>
      </c>
    </row>
    <row r="1276" spans="9:17" ht="12.75">
      <c r="I1276" s="2">
        <f t="shared" si="191"/>
        <v>18300</v>
      </c>
      <c r="J1276" s="13">
        <f t="shared" si="190"/>
        <v>-8.235969554179341</v>
      </c>
      <c r="K1276" s="10">
        <f t="shared" si="186"/>
        <v>175</v>
      </c>
      <c r="L1276" s="13">
        <f t="shared" si="188"/>
        <v>22.47011842174078</v>
      </c>
      <c r="M1276" s="10">
        <f t="shared" si="189"/>
        <v>0.18440413602644767</v>
      </c>
      <c r="N1276" s="10">
        <f t="shared" si="187"/>
        <v>126.99565609900834</v>
      </c>
      <c r="P1276" s="13">
        <f t="shared" si="192"/>
        <v>14.234148867561437</v>
      </c>
      <c r="Q1276" s="13">
        <f t="shared" si="193"/>
        <v>8.235969554179341</v>
      </c>
    </row>
    <row r="1277" spans="9:17" ht="12.75">
      <c r="I1277" s="2">
        <f t="shared" si="191"/>
        <v>18315</v>
      </c>
      <c r="J1277" s="13">
        <f t="shared" si="190"/>
        <v>-8.231813249782117</v>
      </c>
      <c r="K1277" s="10">
        <f t="shared" si="186"/>
        <v>175</v>
      </c>
      <c r="L1277" s="13">
        <f t="shared" si="188"/>
        <v>22.465962117343555</v>
      </c>
      <c r="M1277" s="10">
        <f t="shared" si="189"/>
        <v>-0.39118073979935986</v>
      </c>
      <c r="N1277" s="10">
        <f t="shared" si="187"/>
        <v>127.00453547658422</v>
      </c>
      <c r="P1277" s="13">
        <f t="shared" si="192"/>
        <v>14.234148867561437</v>
      </c>
      <c r="Q1277" s="13">
        <f t="shared" si="193"/>
        <v>8.231813249782117</v>
      </c>
    </row>
    <row r="1278" spans="9:17" ht="12.75">
      <c r="I1278" s="2">
        <f t="shared" si="191"/>
        <v>18330</v>
      </c>
      <c r="J1278" s="13">
        <f t="shared" si="190"/>
        <v>-8.240630114002027</v>
      </c>
      <c r="K1278" s="10">
        <f t="shared" si="186"/>
        <v>175</v>
      </c>
      <c r="L1278" s="13">
        <f t="shared" si="188"/>
        <v>22.474778981563464</v>
      </c>
      <c r="M1278" s="10">
        <f t="shared" si="189"/>
        <v>0.1890646958491331</v>
      </c>
      <c r="N1278" s="10">
        <f t="shared" si="187"/>
        <v>126.98569944847806</v>
      </c>
      <c r="P1278" s="13">
        <f t="shared" si="192"/>
        <v>14.234148867561437</v>
      </c>
      <c r="Q1278" s="13">
        <f t="shared" si="193"/>
        <v>8.240630114002027</v>
      </c>
    </row>
    <row r="1279" spans="9:17" ht="12.75">
      <c r="I1279" s="2">
        <f t="shared" si="191"/>
        <v>18345</v>
      </c>
      <c r="J1279" s="13">
        <f t="shared" si="190"/>
        <v>-8.236368764752225</v>
      </c>
      <c r="K1279" s="10">
        <f t="shared" si="186"/>
        <v>175</v>
      </c>
      <c r="L1279" s="13">
        <f t="shared" si="188"/>
        <v>22.470517632313662</v>
      </c>
      <c r="M1279" s="10">
        <f t="shared" si="189"/>
        <v>0.18480334659933106</v>
      </c>
      <c r="N1279" s="10">
        <f t="shared" si="187"/>
        <v>126.99480324005718</v>
      </c>
      <c r="P1279" s="13">
        <f t="shared" si="192"/>
        <v>14.234148867561437</v>
      </c>
      <c r="Q1279" s="13">
        <f t="shared" si="193"/>
        <v>8.236368764752225</v>
      </c>
    </row>
    <row r="1280" spans="9:17" ht="12.75">
      <c r="I1280" s="2">
        <f t="shared" si="191"/>
        <v>18360</v>
      </c>
      <c r="J1280" s="13">
        <f t="shared" si="190"/>
        <v>-8.232203462505524</v>
      </c>
      <c r="K1280" s="10">
        <f t="shared" si="186"/>
        <v>175</v>
      </c>
      <c r="L1280" s="13">
        <f t="shared" si="188"/>
        <v>22.46635233006696</v>
      </c>
      <c r="M1280" s="10">
        <f t="shared" si="189"/>
        <v>-0.3907905270759535</v>
      </c>
      <c r="N1280" s="10">
        <f t="shared" si="187"/>
        <v>127.00370184031149</v>
      </c>
      <c r="P1280" s="13">
        <f t="shared" si="192"/>
        <v>14.234148867561437</v>
      </c>
      <c r="Q1280" s="13">
        <f t="shared" si="193"/>
        <v>8.232203462505524</v>
      </c>
    </row>
    <row r="1281" spans="9:17" ht="12.75">
      <c r="I1281" s="2">
        <f t="shared" si="191"/>
        <v>18375</v>
      </c>
      <c r="J1281" s="13">
        <f t="shared" si="190"/>
        <v>-8.241011531679437</v>
      </c>
      <c r="K1281" s="10">
        <f t="shared" si="186"/>
        <v>175</v>
      </c>
      <c r="L1281" s="13">
        <f t="shared" si="188"/>
        <v>22.475160399240874</v>
      </c>
      <c r="M1281" s="10">
        <f t="shared" si="189"/>
        <v>0.18944611352654306</v>
      </c>
      <c r="N1281" s="10">
        <f t="shared" si="187"/>
        <v>126.98488460162177</v>
      </c>
      <c r="P1281" s="13">
        <f t="shared" si="192"/>
        <v>14.234148867561437</v>
      </c>
      <c r="Q1281" s="13">
        <f t="shared" si="193"/>
        <v>8.241011531679437</v>
      </c>
    </row>
    <row r="1282" spans="9:17" ht="12.75">
      <c r="I1282" s="2">
        <f t="shared" si="191"/>
        <v>18390</v>
      </c>
      <c r="J1282" s="13">
        <f t="shared" si="190"/>
        <v>-8.23674158561612</v>
      </c>
      <c r="K1282" s="10">
        <f t="shared" si="186"/>
        <v>175</v>
      </c>
      <c r="L1282" s="13">
        <f t="shared" si="188"/>
        <v>22.470890453177557</v>
      </c>
      <c r="M1282" s="10">
        <f t="shared" si="189"/>
        <v>0.18517616746322574</v>
      </c>
      <c r="N1282" s="10">
        <f t="shared" si="187"/>
        <v>126.99400675912068</v>
      </c>
      <c r="P1282" s="13">
        <f t="shared" si="192"/>
        <v>14.234148867561437</v>
      </c>
      <c r="Q1282" s="13">
        <f t="shared" si="193"/>
        <v>8.23674158561612</v>
      </c>
    </row>
    <row r="1283" spans="9:17" ht="12.75">
      <c r="I1283" s="2">
        <f t="shared" si="191"/>
        <v>18405</v>
      </c>
      <c r="J1283" s="13">
        <f t="shared" si="190"/>
        <v>-8.232567880320392</v>
      </c>
      <c r="K1283" s="10">
        <f t="shared" si="186"/>
        <v>175</v>
      </c>
      <c r="L1283" s="13">
        <f t="shared" si="188"/>
        <v>22.46671674788183</v>
      </c>
      <c r="M1283" s="10">
        <f t="shared" si="189"/>
        <v>-0.39042610926108523</v>
      </c>
      <c r="N1283" s="10">
        <f t="shared" si="187"/>
        <v>127.00292331134337</v>
      </c>
      <c r="P1283" s="13">
        <f t="shared" si="192"/>
        <v>14.234148867561437</v>
      </c>
      <c r="Q1283" s="13">
        <f t="shared" si="193"/>
        <v>8.232567880320392</v>
      </c>
    </row>
    <row r="1284" spans="9:17" ht="12.75">
      <c r="I1284" s="2">
        <f t="shared" si="191"/>
        <v>18420</v>
      </c>
      <c r="J1284" s="13">
        <f t="shared" si="190"/>
        <v>-8.241367735842491</v>
      </c>
      <c r="K1284" s="10">
        <f t="shared" si="186"/>
        <v>175</v>
      </c>
      <c r="L1284" s="13">
        <f t="shared" si="188"/>
        <v>22.47551660340393</v>
      </c>
      <c r="M1284" s="10">
        <f t="shared" si="189"/>
        <v>0.18980231768959754</v>
      </c>
      <c r="N1284" s="10">
        <f t="shared" si="187"/>
        <v>126.9841236200007</v>
      </c>
      <c r="P1284" s="13">
        <f t="shared" si="192"/>
        <v>14.234148867561437</v>
      </c>
      <c r="Q1284" s="13">
        <f t="shared" si="193"/>
        <v>8.241367735842491</v>
      </c>
    </row>
    <row r="1285" spans="9:17" ht="12.75">
      <c r="I1285" s="2">
        <f t="shared" si="191"/>
        <v>18435</v>
      </c>
      <c r="J1285" s="13">
        <f t="shared" si="190"/>
        <v>-8.237089761255728</v>
      </c>
      <c r="K1285" s="10">
        <f t="shared" si="186"/>
        <v>175</v>
      </c>
      <c r="L1285" s="13">
        <f t="shared" si="188"/>
        <v>22.471238628817165</v>
      </c>
      <c r="M1285" s="10">
        <f t="shared" si="189"/>
        <v>0.18552434310283417</v>
      </c>
      <c r="N1285" s="10">
        <f t="shared" si="187"/>
        <v>126.99326292934515</v>
      </c>
      <c r="P1285" s="13">
        <f t="shared" si="192"/>
        <v>14.234148867561437</v>
      </c>
      <c r="Q1285" s="13">
        <f t="shared" si="193"/>
        <v>8.237089761255728</v>
      </c>
    </row>
    <row r="1286" spans="9:17" ht="12.75">
      <c r="I1286" s="2">
        <f t="shared" si="191"/>
        <v>18450</v>
      </c>
      <c r="J1286" s="13">
        <f t="shared" si="190"/>
        <v>-8.232908208392303</v>
      </c>
      <c r="K1286" s="10">
        <f t="shared" si="186"/>
        <v>175</v>
      </c>
      <c r="L1286" s="13">
        <f t="shared" si="188"/>
        <v>22.46705707595374</v>
      </c>
      <c r="M1286" s="10">
        <f t="shared" si="189"/>
        <v>-0.3900857811891747</v>
      </c>
      <c r="N1286" s="10">
        <f t="shared" si="187"/>
        <v>127.0021962468261</v>
      </c>
      <c r="P1286" s="13">
        <f t="shared" si="192"/>
        <v>14.234148867561437</v>
      </c>
      <c r="Q1286" s="13">
        <f t="shared" si="193"/>
        <v>8.232908208392303</v>
      </c>
    </row>
    <row r="1287" spans="9:17" ht="12.75">
      <c r="I1287" s="2">
        <f t="shared" si="191"/>
        <v>18465</v>
      </c>
      <c r="J1287" s="13">
        <f t="shared" si="190"/>
        <v>-8.241700393223862</v>
      </c>
      <c r="K1287" s="10">
        <f t="shared" si="186"/>
        <v>175</v>
      </c>
      <c r="L1287" s="13">
        <f t="shared" si="188"/>
        <v>22.4758492607853</v>
      </c>
      <c r="M1287" s="10">
        <f t="shared" si="189"/>
        <v>0.19013497507096844</v>
      </c>
      <c r="N1287" s="10">
        <f t="shared" si="187"/>
        <v>126.98341294286777</v>
      </c>
      <c r="P1287" s="13">
        <f t="shared" si="192"/>
        <v>14.234148867561437</v>
      </c>
      <c r="Q1287" s="13">
        <f t="shared" si="193"/>
        <v>8.241700393223862</v>
      </c>
    </row>
    <row r="1288" spans="9:17" ht="12.75">
      <c r="I1288" s="2">
        <f t="shared" si="191"/>
        <v>18480</v>
      </c>
      <c r="J1288" s="13">
        <f t="shared" si="190"/>
        <v>-8.237414920837068</v>
      </c>
      <c r="K1288" s="10">
        <f t="shared" si="186"/>
        <v>175</v>
      </c>
      <c r="L1288" s="13">
        <f t="shared" si="188"/>
        <v>22.471563788398505</v>
      </c>
      <c r="M1288" s="10">
        <f t="shared" si="189"/>
        <v>0.18584950268417444</v>
      </c>
      <c r="N1288" s="10">
        <f t="shared" si="187"/>
        <v>126.99256827023956</v>
      </c>
      <c r="P1288" s="13">
        <f t="shared" si="192"/>
        <v>14.234148867561437</v>
      </c>
      <c r="Q1288" s="13">
        <f t="shared" si="193"/>
        <v>8.237414920837068</v>
      </c>
    </row>
    <row r="1289" spans="9:17" ht="12.75">
      <c r="I1289" s="2">
        <f t="shared" si="191"/>
        <v>18495</v>
      </c>
      <c r="J1289" s="13">
        <f t="shared" si="190"/>
        <v>-8.23322603916732</v>
      </c>
      <c r="K1289" s="10">
        <f t="shared" si="186"/>
        <v>175</v>
      </c>
      <c r="L1289" s="13">
        <f t="shared" si="188"/>
        <v>22.467374906728757</v>
      </c>
      <c r="M1289" s="10">
        <f t="shared" si="189"/>
        <v>-0.3897679504141571</v>
      </c>
      <c r="N1289" s="10">
        <f t="shared" si="187"/>
        <v>127.00151724471584</v>
      </c>
      <c r="P1289" s="13">
        <f t="shared" si="192"/>
        <v>14.234148867561437</v>
      </c>
      <c r="Q1289" s="13">
        <f t="shared" si="193"/>
        <v>8.23322603916732</v>
      </c>
    </row>
    <row r="1290" spans="9:17" ht="12.75">
      <c r="I1290" s="2">
        <f t="shared" si="191"/>
        <v>18510</v>
      </c>
      <c r="J1290" s="13">
        <f t="shared" si="190"/>
        <v>-8.242011060377301</v>
      </c>
      <c r="K1290" s="10">
        <f t="shared" si="186"/>
        <v>175</v>
      </c>
      <c r="L1290" s="13">
        <f t="shared" si="188"/>
        <v>22.47615992793874</v>
      </c>
      <c r="M1290" s="10">
        <f t="shared" si="189"/>
        <v>0.1904456422244074</v>
      </c>
      <c r="N1290" s="10">
        <f t="shared" si="187"/>
        <v>126.98274924485816</v>
      </c>
      <c r="P1290" s="13">
        <f t="shared" si="192"/>
        <v>14.234148867561437</v>
      </c>
      <c r="Q1290" s="13">
        <f t="shared" si="193"/>
        <v>8.242011060377301</v>
      </c>
    </row>
    <row r="1291" spans="9:17" ht="12.75">
      <c r="I1291" s="2">
        <f t="shared" si="191"/>
        <v>18525</v>
      </c>
      <c r="J1291" s="13">
        <f t="shared" si="190"/>
        <v>-8.237718585830553</v>
      </c>
      <c r="K1291" s="10">
        <f t="shared" si="186"/>
        <v>175</v>
      </c>
      <c r="L1291" s="13">
        <f t="shared" si="188"/>
        <v>22.47186745339199</v>
      </c>
      <c r="M1291" s="10">
        <f t="shared" si="189"/>
        <v>0.18615316767765933</v>
      </c>
      <c r="N1291" s="10">
        <f t="shared" si="187"/>
        <v>126.99191953138984</v>
      </c>
      <c r="P1291" s="13">
        <f t="shared" si="192"/>
        <v>14.234148867561437</v>
      </c>
      <c r="Q1291" s="13">
        <f t="shared" si="193"/>
        <v>8.237718585830553</v>
      </c>
    </row>
    <row r="1292" spans="9:17" ht="12.75">
      <c r="I1292" s="2">
        <f t="shared" si="191"/>
        <v>18540</v>
      </c>
      <c r="J1292" s="13">
        <f t="shared" si="190"/>
        <v>-8.233522859823282</v>
      </c>
      <c r="K1292" s="10">
        <f t="shared" si="186"/>
        <v>175</v>
      </c>
      <c r="L1292" s="13">
        <f t="shared" si="188"/>
        <v>22.46767172738472</v>
      </c>
      <c r="M1292" s="10">
        <f t="shared" si="189"/>
        <v>-0.38947112975819564</v>
      </c>
      <c r="N1292" s="10">
        <f t="shared" si="187"/>
        <v>127.00088312785992</v>
      </c>
      <c r="P1292" s="13">
        <f t="shared" si="192"/>
        <v>14.234148867561437</v>
      </c>
      <c r="Q1292" s="13">
        <f t="shared" si="193"/>
        <v>8.233522859823282</v>
      </c>
    </row>
    <row r="1293" spans="9:17" ht="12.75">
      <c r="I1293" s="2">
        <f t="shared" si="191"/>
        <v>18555</v>
      </c>
      <c r="J1293" s="13">
        <f t="shared" si="190"/>
        <v>-8.24230119096099</v>
      </c>
      <c r="K1293" s="10">
        <f t="shared" si="186"/>
        <v>175</v>
      </c>
      <c r="L1293" s="13">
        <f t="shared" si="188"/>
        <v>22.476450058522428</v>
      </c>
      <c r="M1293" s="10">
        <f t="shared" si="189"/>
        <v>0.19073577280809673</v>
      </c>
      <c r="N1293" s="10">
        <f t="shared" si="187"/>
        <v>126.98212942042936</v>
      </c>
      <c r="P1293" s="13">
        <f t="shared" si="192"/>
        <v>14.234148867561437</v>
      </c>
      <c r="Q1293" s="13">
        <f t="shared" si="193"/>
        <v>8.24230119096099</v>
      </c>
    </row>
    <row r="1294" spans="9:17" ht="12.75">
      <c r="I1294" s="2">
        <f t="shared" si="191"/>
        <v>18570</v>
      </c>
      <c r="J1294" s="13">
        <f t="shared" si="190"/>
        <v>-8.238002177130223</v>
      </c>
      <c r="K1294" s="10">
        <f t="shared" si="186"/>
        <v>175</v>
      </c>
      <c r="L1294" s="13">
        <f t="shared" si="188"/>
        <v>22.47215104469166</v>
      </c>
      <c r="M1294" s="10">
        <f t="shared" si="189"/>
        <v>0.18643675897732948</v>
      </c>
      <c r="N1294" s="10">
        <f t="shared" si="187"/>
        <v>126.99131367724964</v>
      </c>
      <c r="P1294" s="13">
        <f t="shared" si="192"/>
        <v>14.234148867561437</v>
      </c>
      <c r="Q1294" s="13">
        <f t="shared" si="193"/>
        <v>8.238002177130223</v>
      </c>
    </row>
    <row r="1295" spans="9:17" ht="12.75">
      <c r="I1295" s="2">
        <f t="shared" si="191"/>
        <v>18585</v>
      </c>
      <c r="J1295" s="13">
        <f t="shared" si="190"/>
        <v>-8.233800059228543</v>
      </c>
      <c r="K1295" s="10">
        <f aca="true" t="shared" si="194" ref="K1295:K1358">MAX(D$8,K1294+J1294*I$41/VLOOKUP(K1294,E$44:G$251,3,TRUE))</f>
        <v>175</v>
      </c>
      <c r="L1295" s="13">
        <f t="shared" si="188"/>
        <v>22.46794892678998</v>
      </c>
      <c r="M1295" s="10">
        <f t="shared" si="189"/>
        <v>-0.3891939303529348</v>
      </c>
      <c r="N1295" s="10">
        <f aca="true" t="shared" si="195" ref="N1295:N1358">N1294+M1294*I$41/VLOOKUP(N1294,A$44:C$251,3,TRUE)</f>
        <v>127.0002909291305</v>
      </c>
      <c r="P1295" s="13">
        <f t="shared" si="192"/>
        <v>14.234148867561437</v>
      </c>
      <c r="Q1295" s="13">
        <f t="shared" si="193"/>
        <v>8.233800059228543</v>
      </c>
    </row>
    <row r="1296" spans="9:17" ht="12.75">
      <c r="I1296" s="2">
        <f t="shared" si="191"/>
        <v>18600</v>
      </c>
      <c r="J1296" s="13">
        <f t="shared" si="190"/>
        <v>-8.24257214253943</v>
      </c>
      <c r="K1296" s="10">
        <f t="shared" si="194"/>
        <v>175</v>
      </c>
      <c r="L1296" s="13">
        <f t="shared" si="188"/>
        <v>22.476721010100867</v>
      </c>
      <c r="M1296" s="10">
        <f t="shared" si="189"/>
        <v>0.19100672438653632</v>
      </c>
      <c r="N1296" s="10">
        <f t="shared" si="195"/>
        <v>126.98155056932997</v>
      </c>
      <c r="P1296" s="13">
        <f t="shared" si="192"/>
        <v>14.234148867561437</v>
      </c>
      <c r="Q1296" s="13">
        <f t="shared" si="193"/>
        <v>8.24257214253943</v>
      </c>
    </row>
    <row r="1297" spans="9:17" ht="12.75">
      <c r="I1297" s="2">
        <f t="shared" si="191"/>
        <v>18615</v>
      </c>
      <c r="J1297" s="13">
        <f t="shared" si="190"/>
        <v>-8.23826702170227</v>
      </c>
      <c r="K1297" s="10">
        <f t="shared" si="194"/>
        <v>175</v>
      </c>
      <c r="L1297" s="13">
        <f t="shared" si="188"/>
        <v>22.472415889263708</v>
      </c>
      <c r="M1297" s="10">
        <f t="shared" si="189"/>
        <v>0.18670160354937693</v>
      </c>
      <c r="N1297" s="10">
        <f t="shared" si="195"/>
        <v>126.99074787293662</v>
      </c>
      <c r="P1297" s="13">
        <f t="shared" si="192"/>
        <v>14.234148867561437</v>
      </c>
      <c r="Q1297" s="13">
        <f t="shared" si="193"/>
        <v>8.23826702170227</v>
      </c>
    </row>
    <row r="1298" spans="9:17" ht="12.75">
      <c r="I1298" s="2">
        <f t="shared" si="191"/>
        <v>18630</v>
      </c>
      <c r="J1298" s="13">
        <f t="shared" si="190"/>
        <v>-8.234058934440672</v>
      </c>
      <c r="K1298" s="10">
        <f t="shared" si="194"/>
        <v>175</v>
      </c>
      <c r="L1298" s="13">
        <f t="shared" si="188"/>
        <v>22.46820780200211</v>
      </c>
      <c r="M1298" s="10">
        <f t="shared" si="189"/>
        <v>0.18249351628777788</v>
      </c>
      <c r="N1298" s="10">
        <f t="shared" si="195"/>
        <v>126.99973787754095</v>
      </c>
      <c r="P1298" s="13">
        <f t="shared" si="192"/>
        <v>14.234148867561437</v>
      </c>
      <c r="Q1298" s="13">
        <f t="shared" si="193"/>
        <v>8.234058934440672</v>
      </c>
    </row>
    <row r="1299" spans="9:17" ht="12.75">
      <c r="I1299" s="2">
        <f t="shared" si="191"/>
        <v>18645</v>
      </c>
      <c r="J1299" s="13">
        <f t="shared" si="190"/>
        <v>-8.229945693704565</v>
      </c>
      <c r="K1299" s="10">
        <f t="shared" si="194"/>
        <v>175</v>
      </c>
      <c r="L1299" s="13">
        <f t="shared" si="188"/>
        <v>22.464094561266002</v>
      </c>
      <c r="M1299" s="10">
        <f t="shared" si="189"/>
        <v>-0.3930482958769126</v>
      </c>
      <c r="N1299" s="10">
        <f t="shared" si="195"/>
        <v>127.00852525547718</v>
      </c>
      <c r="P1299" s="13">
        <f t="shared" si="192"/>
        <v>14.234148867561437</v>
      </c>
      <c r="Q1299" s="13">
        <f t="shared" si="193"/>
        <v>8.229945693704565</v>
      </c>
    </row>
    <row r="1300" spans="9:17" ht="12.75">
      <c r="I1300" s="2">
        <f t="shared" si="191"/>
        <v>18660</v>
      </c>
      <c r="J1300" s="13">
        <f t="shared" si="190"/>
        <v>-8.238804650969158</v>
      </c>
      <c r="K1300" s="10">
        <f t="shared" si="194"/>
        <v>175</v>
      </c>
      <c r="L1300" s="13">
        <f t="shared" si="188"/>
        <v>22.472953518530595</v>
      </c>
      <c r="M1300" s="10">
        <f t="shared" si="189"/>
        <v>0.18723923281626398</v>
      </c>
      <c r="N1300" s="10">
        <f t="shared" si="195"/>
        <v>126.98959930132101</v>
      </c>
      <c r="P1300" s="13">
        <f t="shared" si="192"/>
        <v>14.234148867561437</v>
      </c>
      <c r="Q1300" s="13">
        <f t="shared" si="193"/>
        <v>8.238804650969158</v>
      </c>
    </row>
    <row r="1301" spans="9:17" ht="12.75">
      <c r="I1301" s="2">
        <f t="shared" si="191"/>
        <v>18675</v>
      </c>
      <c r="J1301" s="13">
        <f t="shared" si="190"/>
        <v>-8.234584446024432</v>
      </c>
      <c r="K1301" s="10">
        <f t="shared" si="194"/>
        <v>175</v>
      </c>
      <c r="L1301" s="13">
        <f t="shared" si="188"/>
        <v>22.46873331358587</v>
      </c>
      <c r="M1301" s="10">
        <f t="shared" si="189"/>
        <v>0.1830190278715378</v>
      </c>
      <c r="N1301" s="10">
        <f t="shared" si="195"/>
        <v>126.99861519370292</v>
      </c>
      <c r="P1301" s="13">
        <f t="shared" si="192"/>
        <v>14.234148867561437</v>
      </c>
      <c r="Q1301" s="13">
        <f t="shared" si="193"/>
        <v>8.234584446024432</v>
      </c>
    </row>
    <row r="1302" spans="9:17" ht="12.75">
      <c r="I1302" s="2">
        <f t="shared" si="191"/>
        <v>18690</v>
      </c>
      <c r="J1302" s="13">
        <f t="shared" si="190"/>
        <v>-8.230459360726954</v>
      </c>
      <c r="K1302" s="10">
        <f t="shared" si="194"/>
        <v>175</v>
      </c>
      <c r="L1302" s="13">
        <f t="shared" si="188"/>
        <v>22.46460822828839</v>
      </c>
      <c r="M1302" s="10">
        <f t="shared" si="189"/>
        <v>-0.3925346288545235</v>
      </c>
      <c r="N1302" s="10">
        <f t="shared" si="195"/>
        <v>127.00742787592935</v>
      </c>
      <c r="P1302" s="13">
        <f t="shared" si="192"/>
        <v>14.234148867561437</v>
      </c>
      <c r="Q1302" s="13">
        <f t="shared" si="193"/>
        <v>8.230459360726954</v>
      </c>
    </row>
    <row r="1303" spans="9:17" ht="12.75">
      <c r="I1303" s="2">
        <f t="shared" si="191"/>
        <v>18705</v>
      </c>
      <c r="J1303" s="13">
        <f t="shared" si="190"/>
        <v>-8.239306740396</v>
      </c>
      <c r="K1303" s="10">
        <f t="shared" si="194"/>
        <v>175</v>
      </c>
      <c r="L1303" s="13">
        <f t="shared" si="188"/>
        <v>22.473455607957437</v>
      </c>
      <c r="M1303" s="10">
        <f t="shared" si="189"/>
        <v>0.1877413222431059</v>
      </c>
      <c r="N1303" s="10">
        <f t="shared" si="195"/>
        <v>126.9885266557273</v>
      </c>
      <c r="P1303" s="13">
        <f t="shared" si="192"/>
        <v>14.234148867561437</v>
      </c>
      <c r="Q1303" s="13">
        <f t="shared" si="193"/>
        <v>8.239306740396</v>
      </c>
    </row>
    <row r="1304" spans="9:17" ht="12.75">
      <c r="I1304" s="2">
        <f t="shared" si="191"/>
        <v>18720</v>
      </c>
      <c r="J1304" s="13">
        <f t="shared" si="190"/>
        <v>-8.23507521880439</v>
      </c>
      <c r="K1304" s="10">
        <f t="shared" si="194"/>
        <v>175</v>
      </c>
      <c r="L1304" s="13">
        <f t="shared" si="188"/>
        <v>22.469224086365827</v>
      </c>
      <c r="M1304" s="10">
        <f t="shared" si="189"/>
        <v>0.18350980065149614</v>
      </c>
      <c r="N1304" s="10">
        <f t="shared" si="195"/>
        <v>126.9975667245821</v>
      </c>
      <c r="P1304" s="13">
        <f t="shared" si="192"/>
        <v>14.234148867561437</v>
      </c>
      <c r="Q1304" s="13">
        <f t="shared" si="193"/>
        <v>8.23507521880439</v>
      </c>
    </row>
    <row r="1305" spans="9:17" ht="12.75">
      <c r="I1305" s="2">
        <f t="shared" si="191"/>
        <v>18735</v>
      </c>
      <c r="J1305" s="13">
        <f t="shared" si="190"/>
        <v>-8.230939071927125</v>
      </c>
      <c r="K1305" s="10">
        <f t="shared" si="194"/>
        <v>175</v>
      </c>
      <c r="L1305" s="13">
        <f t="shared" si="188"/>
        <v>22.465087939488562</v>
      </c>
      <c r="M1305" s="10">
        <f t="shared" si="189"/>
        <v>-0.3920549176543524</v>
      </c>
      <c r="N1305" s="10">
        <f t="shared" si="195"/>
        <v>127.00640303836535</v>
      </c>
      <c r="P1305" s="13">
        <f t="shared" si="192"/>
        <v>14.234148867561437</v>
      </c>
      <c r="Q1305" s="13">
        <f t="shared" si="193"/>
        <v>8.230939071927125</v>
      </c>
    </row>
    <row r="1306" spans="9:17" ht="12.75">
      <c r="I1306" s="2">
        <f t="shared" si="191"/>
        <v>18750</v>
      </c>
      <c r="J1306" s="13">
        <f t="shared" si="190"/>
        <v>-8.239775639334503</v>
      </c>
      <c r="K1306" s="10">
        <f t="shared" si="194"/>
        <v>175</v>
      </c>
      <c r="L1306" s="13">
        <f t="shared" si="188"/>
        <v>22.47392450689594</v>
      </c>
      <c r="M1306" s="10">
        <f t="shared" si="189"/>
        <v>0.18821022118160968</v>
      </c>
      <c r="N1306" s="10">
        <f t="shared" si="195"/>
        <v>126.98752491708595</v>
      </c>
      <c r="P1306" s="13">
        <f t="shared" si="192"/>
        <v>14.234148867561437</v>
      </c>
      <c r="Q1306" s="13">
        <f t="shared" si="193"/>
        <v>8.239775639334503</v>
      </c>
    </row>
    <row r="1307" spans="9:17" ht="12.75">
      <c r="I1307" s="2">
        <f t="shared" si="191"/>
        <v>18765</v>
      </c>
      <c r="J1307" s="13">
        <f t="shared" si="190"/>
        <v>-8.23553354917994</v>
      </c>
      <c r="K1307" s="10">
        <f t="shared" si="194"/>
        <v>175</v>
      </c>
      <c r="L1307" s="13">
        <f t="shared" si="188"/>
        <v>22.469682416741378</v>
      </c>
      <c r="M1307" s="10">
        <f t="shared" si="189"/>
        <v>0.18396813102704712</v>
      </c>
      <c r="N1307" s="10">
        <f t="shared" si="195"/>
        <v>126.99658756423433</v>
      </c>
      <c r="P1307" s="13">
        <f t="shared" si="192"/>
        <v>14.234148867561437</v>
      </c>
      <c r="Q1307" s="13">
        <f t="shared" si="193"/>
        <v>8.23553354917994</v>
      </c>
    </row>
    <row r="1308" spans="9:17" ht="12.75">
      <c r="I1308" s="2">
        <f t="shared" si="191"/>
        <v>18780</v>
      </c>
      <c r="J1308" s="13">
        <f t="shared" si="190"/>
        <v>-8.231387071945687</v>
      </c>
      <c r="K1308" s="10">
        <f t="shared" si="194"/>
        <v>175</v>
      </c>
      <c r="L1308" s="13">
        <f t="shared" si="188"/>
        <v>22.465535939507124</v>
      </c>
      <c r="M1308" s="10">
        <f t="shared" si="189"/>
        <v>-0.3916069176357908</v>
      </c>
      <c r="N1308" s="10">
        <f t="shared" si="195"/>
        <v>127.0054459474166</v>
      </c>
      <c r="P1308" s="13">
        <f t="shared" si="192"/>
        <v>14.234148867561437</v>
      </c>
      <c r="Q1308" s="13">
        <f t="shared" si="193"/>
        <v>8.231387071945687</v>
      </c>
    </row>
    <row r="1309" spans="9:17" ht="12.75">
      <c r="I1309" s="2">
        <f t="shared" si="191"/>
        <v>18795</v>
      </c>
      <c r="J1309" s="13">
        <f t="shared" si="190"/>
        <v>-8.240213541833093</v>
      </c>
      <c r="K1309" s="10">
        <f t="shared" si="194"/>
        <v>175</v>
      </c>
      <c r="L1309" s="13">
        <f t="shared" si="188"/>
        <v>22.47436240939453</v>
      </c>
      <c r="M1309" s="10">
        <f t="shared" si="189"/>
        <v>0.18864812368019912</v>
      </c>
      <c r="N1309" s="10">
        <f t="shared" si="195"/>
        <v>126.98658939811169</v>
      </c>
      <c r="P1309" s="13">
        <f t="shared" si="192"/>
        <v>14.234148867561437</v>
      </c>
      <c r="Q1309" s="13">
        <f t="shared" si="193"/>
        <v>8.240213541833093</v>
      </c>
    </row>
    <row r="1310" spans="9:17" ht="12.75">
      <c r="I1310" s="2">
        <f t="shared" si="191"/>
        <v>18810</v>
      </c>
      <c r="J1310" s="13">
        <f t="shared" si="190"/>
        <v>-8.235961581747627</v>
      </c>
      <c r="K1310" s="10">
        <f t="shared" si="194"/>
        <v>175</v>
      </c>
      <c r="L1310" s="13">
        <f t="shared" si="188"/>
        <v>22.470110449309065</v>
      </c>
      <c r="M1310" s="10">
        <f t="shared" si="189"/>
        <v>0.18439616359473376</v>
      </c>
      <c r="N1310" s="10">
        <f t="shared" si="195"/>
        <v>126.99567313102155</v>
      </c>
      <c r="P1310" s="13">
        <f t="shared" si="192"/>
        <v>14.234148867561437</v>
      </c>
      <c r="Q1310" s="13">
        <f t="shared" si="193"/>
        <v>8.235961581747627</v>
      </c>
    </row>
    <row r="1311" spans="9:17" ht="12.75">
      <c r="I1311" s="2">
        <f t="shared" si="191"/>
        <v>18825</v>
      </c>
      <c r="J1311" s="13">
        <f t="shared" si="190"/>
        <v>-8.231805457041894</v>
      </c>
      <c r="K1311" s="10">
        <f t="shared" si="194"/>
        <v>175</v>
      </c>
      <c r="L1311" s="13">
        <f t="shared" si="188"/>
        <v>22.46595432460333</v>
      </c>
      <c r="M1311" s="10">
        <f t="shared" si="189"/>
        <v>-0.39118853253958363</v>
      </c>
      <c r="N1311" s="10">
        <f t="shared" si="195"/>
        <v>127.00455212471107</v>
      </c>
      <c r="P1311" s="13">
        <f t="shared" si="192"/>
        <v>14.234148867561437</v>
      </c>
      <c r="Q1311" s="13">
        <f t="shared" si="193"/>
        <v>8.231805457041894</v>
      </c>
    </row>
    <row r="1312" spans="9:17" ht="12.75">
      <c r="I1312" s="2">
        <f t="shared" si="191"/>
        <v>18840</v>
      </c>
      <c r="J1312" s="13">
        <f t="shared" si="190"/>
        <v>-8.240622496903207</v>
      </c>
      <c r="K1312" s="10">
        <f t="shared" si="194"/>
        <v>175</v>
      </c>
      <c r="L1312" s="13">
        <f t="shared" si="188"/>
        <v>22.474771364464644</v>
      </c>
      <c r="M1312" s="10">
        <f t="shared" si="189"/>
        <v>0.18905707875031297</v>
      </c>
      <c r="N1312" s="10">
        <f t="shared" si="195"/>
        <v>126.985715721371</v>
      </c>
      <c r="P1312" s="13">
        <f t="shared" si="192"/>
        <v>14.234148867561437</v>
      </c>
      <c r="Q1312" s="13">
        <f t="shared" si="193"/>
        <v>8.240622496903207</v>
      </c>
    </row>
    <row r="1313" spans="9:17" ht="12.75">
      <c r="I1313" s="2">
        <f t="shared" si="191"/>
        <v>18855</v>
      </c>
      <c r="J1313" s="13">
        <f t="shared" si="190"/>
        <v>-8.236361319336002</v>
      </c>
      <c r="K1313" s="10">
        <f t="shared" si="194"/>
        <v>175</v>
      </c>
      <c r="L1313" s="13">
        <f t="shared" si="188"/>
        <v>22.47051018689744</v>
      </c>
      <c r="M1313" s="10">
        <f t="shared" si="189"/>
        <v>0.18479590118310796</v>
      </c>
      <c r="N1313" s="10">
        <f t="shared" si="195"/>
        <v>126.99481914617365</v>
      </c>
      <c r="P1313" s="13">
        <f t="shared" si="192"/>
        <v>14.234148867561437</v>
      </c>
      <c r="Q1313" s="13">
        <f t="shared" si="193"/>
        <v>8.236361319336002</v>
      </c>
    </row>
    <row r="1314" spans="9:17" ht="12.75">
      <c r="I1314" s="2">
        <f t="shared" si="191"/>
        <v>18870</v>
      </c>
      <c r="J1314" s="13">
        <f t="shared" si="190"/>
        <v>-8.232196184902332</v>
      </c>
      <c r="K1314" s="10">
        <f t="shared" si="194"/>
        <v>175</v>
      </c>
      <c r="L1314" s="13">
        <f t="shared" si="188"/>
        <v>22.46634505246377</v>
      </c>
      <c r="M1314" s="10">
        <f t="shared" si="189"/>
        <v>-0.3907978046791456</v>
      </c>
      <c r="N1314" s="10">
        <f t="shared" si="195"/>
        <v>127.00371738791831</v>
      </c>
      <c r="P1314" s="13">
        <f t="shared" si="192"/>
        <v>14.234148867561437</v>
      </c>
      <c r="Q1314" s="13">
        <f t="shared" si="193"/>
        <v>8.232196184902332</v>
      </c>
    </row>
    <row r="1315" spans="9:17" ht="12.75">
      <c r="I1315" s="2">
        <f t="shared" si="191"/>
        <v>18885</v>
      </c>
      <c r="J1315" s="13">
        <f t="shared" si="190"/>
        <v>-8.241004418106915</v>
      </c>
      <c r="K1315" s="10">
        <f t="shared" si="194"/>
        <v>175</v>
      </c>
      <c r="L1315" s="13">
        <f t="shared" si="188"/>
        <v>22.475153285668352</v>
      </c>
      <c r="M1315" s="10">
        <f t="shared" si="189"/>
        <v>0.18943899995402091</v>
      </c>
      <c r="N1315" s="10">
        <f t="shared" si="195"/>
        <v>126.98489979879943</v>
      </c>
      <c r="P1315" s="13">
        <f t="shared" si="192"/>
        <v>14.234148867561437</v>
      </c>
      <c r="Q1315" s="13">
        <f t="shared" si="193"/>
        <v>8.241004418106915</v>
      </c>
    </row>
    <row r="1316" spans="9:17" ht="12.75">
      <c r="I1316" s="2">
        <f t="shared" si="191"/>
        <v>18900</v>
      </c>
      <c r="J1316" s="13">
        <f t="shared" si="190"/>
        <v>-8.23673463237716</v>
      </c>
      <c r="K1316" s="10">
        <f t="shared" si="194"/>
        <v>175</v>
      </c>
      <c r="L1316" s="13">
        <f t="shared" si="188"/>
        <v>22.470883499938598</v>
      </c>
      <c r="M1316" s="10">
        <f t="shared" si="189"/>
        <v>0.1851692142242669</v>
      </c>
      <c r="N1316" s="10">
        <f t="shared" si="195"/>
        <v>126.99402161376754</v>
      </c>
      <c r="P1316" s="13">
        <f t="shared" si="192"/>
        <v>14.234148867561437</v>
      </c>
      <c r="Q1316" s="13">
        <f t="shared" si="193"/>
        <v>8.23673463237716</v>
      </c>
    </row>
    <row r="1317" spans="9:17" ht="12.75">
      <c r="I1317" s="2">
        <f t="shared" si="191"/>
        <v>18915</v>
      </c>
      <c r="J1317" s="13">
        <f t="shared" si="190"/>
        <v>-8.232561083801226</v>
      </c>
      <c r="K1317" s="10">
        <f t="shared" si="194"/>
        <v>175</v>
      </c>
      <c r="L1317" s="13">
        <f t="shared" si="188"/>
        <v>22.466709951362663</v>
      </c>
      <c r="M1317" s="10">
        <f t="shared" si="189"/>
        <v>-0.39043290578025136</v>
      </c>
      <c r="N1317" s="10">
        <f t="shared" si="195"/>
        <v>127.00293783117976</v>
      </c>
      <c r="P1317" s="13">
        <f t="shared" si="192"/>
        <v>14.234148867561437</v>
      </c>
      <c r="Q1317" s="13">
        <f t="shared" si="193"/>
        <v>8.232561083801226</v>
      </c>
    </row>
    <row r="1318" spans="9:17" ht="12.75">
      <c r="I1318" s="2">
        <f t="shared" si="191"/>
        <v>18930</v>
      </c>
      <c r="J1318" s="13">
        <f t="shared" si="190"/>
        <v>-8.241361092510793</v>
      </c>
      <c r="K1318" s="10">
        <f t="shared" si="194"/>
        <v>175</v>
      </c>
      <c r="L1318" s="13">
        <f t="shared" si="188"/>
        <v>22.47550996007223</v>
      </c>
      <c r="M1318" s="10">
        <f t="shared" si="189"/>
        <v>0.18979567435789946</v>
      </c>
      <c r="N1318" s="10">
        <f t="shared" si="195"/>
        <v>126.98413781257297</v>
      </c>
      <c r="P1318" s="13">
        <f t="shared" si="192"/>
        <v>14.234148867561437</v>
      </c>
      <c r="Q1318" s="13">
        <f t="shared" si="193"/>
        <v>8.241361092510793</v>
      </c>
    </row>
    <row r="1319" spans="9:17" ht="12.75">
      <c r="I1319" s="2">
        <f t="shared" si="191"/>
        <v>18945</v>
      </c>
      <c r="J1319" s="13">
        <f t="shared" si="190"/>
        <v>-8.237083267658786</v>
      </c>
      <c r="K1319" s="10">
        <f t="shared" si="194"/>
        <v>175</v>
      </c>
      <c r="L1319" s="13">
        <f t="shared" si="188"/>
        <v>22.471232135220223</v>
      </c>
      <c r="M1319" s="10">
        <f t="shared" si="189"/>
        <v>0.18551784950589223</v>
      </c>
      <c r="N1319" s="10">
        <f t="shared" si="195"/>
        <v>126.99327680202953</v>
      </c>
      <c r="P1319" s="13">
        <f t="shared" si="192"/>
        <v>14.234148867561437</v>
      </c>
      <c r="Q1319" s="13">
        <f t="shared" si="193"/>
        <v>8.237083267658786</v>
      </c>
    </row>
    <row r="1320" spans="9:17" ht="12.75">
      <c r="I1320" s="2">
        <f t="shared" si="191"/>
        <v>18960</v>
      </c>
      <c r="J1320" s="13">
        <f t="shared" si="190"/>
        <v>-8.232901861155227</v>
      </c>
      <c r="K1320" s="10">
        <f t="shared" si="194"/>
        <v>175</v>
      </c>
      <c r="L1320" s="13">
        <f t="shared" si="188"/>
        <v>22.467050728716664</v>
      </c>
      <c r="M1320" s="10">
        <f t="shared" si="189"/>
        <v>-0.3900921284262502</v>
      </c>
      <c r="N1320" s="10">
        <f t="shared" si="195"/>
        <v>127.00220980683258</v>
      </c>
      <c r="P1320" s="13">
        <f t="shared" si="192"/>
        <v>14.234148867561437</v>
      </c>
      <c r="Q1320" s="13">
        <f t="shared" si="193"/>
        <v>8.232901861155227</v>
      </c>
    </row>
    <row r="1321" spans="9:17" ht="12.75">
      <c r="I1321" s="2">
        <f t="shared" si="191"/>
        <v>18975</v>
      </c>
      <c r="J1321" s="13">
        <f t="shared" si="190"/>
        <v>-8.241694189047834</v>
      </c>
      <c r="K1321" s="10">
        <f t="shared" si="194"/>
        <v>175</v>
      </c>
      <c r="L1321" s="13">
        <f t="shared" si="188"/>
        <v>22.47584305660927</v>
      </c>
      <c r="M1321" s="10">
        <f t="shared" si="189"/>
        <v>0.1901287708949404</v>
      </c>
      <c r="N1321" s="10">
        <f t="shared" si="195"/>
        <v>126.98342619724383</v>
      </c>
      <c r="P1321" s="13">
        <f t="shared" si="192"/>
        <v>14.234148867561437</v>
      </c>
      <c r="Q1321" s="13">
        <f t="shared" si="193"/>
        <v>8.241694189047834</v>
      </c>
    </row>
    <row r="1322" spans="9:17" ht="12.75">
      <c r="I1322" s="2">
        <f t="shared" si="191"/>
        <v>18990</v>
      </c>
      <c r="J1322" s="13">
        <f t="shared" si="190"/>
        <v>-8.23740885649762</v>
      </c>
      <c r="K1322" s="10">
        <f t="shared" si="194"/>
        <v>175</v>
      </c>
      <c r="L1322" s="13">
        <f t="shared" si="188"/>
        <v>22.471557724059057</v>
      </c>
      <c r="M1322" s="10">
        <f t="shared" si="189"/>
        <v>0.18584343834472605</v>
      </c>
      <c r="N1322" s="10">
        <f t="shared" si="195"/>
        <v>126.99258122587383</v>
      </c>
      <c r="P1322" s="13">
        <f t="shared" si="192"/>
        <v>14.234148867561437</v>
      </c>
      <c r="Q1322" s="13">
        <f t="shared" si="193"/>
        <v>8.23740885649762</v>
      </c>
    </row>
    <row r="1323" spans="9:17" ht="12.75">
      <c r="I1323" s="2">
        <f t="shared" si="191"/>
        <v>19005</v>
      </c>
      <c r="J1323" s="13">
        <f t="shared" si="190"/>
        <v>-8.233220111512665</v>
      </c>
      <c r="K1323" s="10">
        <f t="shared" si="194"/>
        <v>175</v>
      </c>
      <c r="L1323" s="13">
        <f t="shared" si="188"/>
        <v>22.467368979074102</v>
      </c>
      <c r="M1323" s="10">
        <f t="shared" si="189"/>
        <v>-0.38977387806881225</v>
      </c>
      <c r="N1323" s="10">
        <f t="shared" si="195"/>
        <v>127.0015299083417</v>
      </c>
      <c r="P1323" s="13">
        <f t="shared" si="192"/>
        <v>14.234148867561437</v>
      </c>
      <c r="Q1323" s="13">
        <f t="shared" si="193"/>
        <v>8.233220111512665</v>
      </c>
    </row>
    <row r="1324" spans="9:17" ht="12.75">
      <c r="I1324" s="2">
        <f t="shared" si="191"/>
        <v>19020</v>
      </c>
      <c r="J1324" s="13">
        <f t="shared" si="190"/>
        <v>-8.242005266326682</v>
      </c>
      <c r="K1324" s="10">
        <f t="shared" si="194"/>
        <v>175</v>
      </c>
      <c r="L1324" s="13">
        <f aca="true" t="shared" si="196" ref="L1324:L1387">(K1324-N1324)/D$12</f>
        <v>22.47615413388812</v>
      </c>
      <c r="M1324" s="10">
        <f t="shared" si="189"/>
        <v>0.19043984817378856</v>
      </c>
      <c r="N1324" s="10">
        <f t="shared" si="195"/>
        <v>126.9827616230572</v>
      </c>
      <c r="P1324" s="13">
        <f t="shared" si="192"/>
        <v>14.234148867561437</v>
      </c>
      <c r="Q1324" s="13">
        <f t="shared" si="193"/>
        <v>8.242005266326682</v>
      </c>
    </row>
    <row r="1325" spans="9:17" ht="12.75">
      <c r="I1325" s="2">
        <f t="shared" si="191"/>
        <v>19035</v>
      </c>
      <c r="J1325" s="13">
        <f t="shared" si="190"/>
        <v>-8.237712922372658</v>
      </c>
      <c r="K1325" s="10">
        <f t="shared" si="194"/>
        <v>175</v>
      </c>
      <c r="L1325" s="13">
        <f t="shared" si="196"/>
        <v>22.471861789934096</v>
      </c>
      <c r="M1325" s="10">
        <f t="shared" si="189"/>
        <v>0.18614750421976467</v>
      </c>
      <c r="N1325" s="10">
        <f t="shared" si="195"/>
        <v>126.99193163059535</v>
      </c>
      <c r="P1325" s="13">
        <f t="shared" si="192"/>
        <v>14.234148867561437</v>
      </c>
      <c r="Q1325" s="13">
        <f t="shared" si="193"/>
        <v>8.237712922372658</v>
      </c>
    </row>
    <row r="1326" spans="9:17" ht="12.75">
      <c r="I1326" s="2">
        <f t="shared" si="191"/>
        <v>19050</v>
      </c>
      <c r="J1326" s="13">
        <f t="shared" si="190"/>
        <v>-8.233517324014663</v>
      </c>
      <c r="K1326" s="10">
        <f t="shared" si="194"/>
        <v>175</v>
      </c>
      <c r="L1326" s="13">
        <f t="shared" si="196"/>
        <v>22.4676661915761</v>
      </c>
      <c r="M1326" s="10">
        <f aca="true" t="shared" si="197" ref="M1326:M1389">L1326-VLOOKUP(N1326,A$44:C$251,2,TRUE)</f>
        <v>-0.38947666556681426</v>
      </c>
      <c r="N1326" s="10">
        <f t="shared" si="195"/>
        <v>127.00089495436015</v>
      </c>
      <c r="P1326" s="13">
        <f t="shared" si="192"/>
        <v>14.234148867561437</v>
      </c>
      <c r="Q1326" s="13">
        <f t="shared" si="193"/>
        <v>8.233517324014663</v>
      </c>
    </row>
    <row r="1327" spans="9:17" ht="12.75">
      <c r="I1327" s="2">
        <f t="shared" si="191"/>
        <v>19065</v>
      </c>
      <c r="J1327" s="13">
        <f t="shared" si="190"/>
        <v>-8.242295779924554</v>
      </c>
      <c r="K1327" s="10">
        <f t="shared" si="194"/>
        <v>175</v>
      </c>
      <c r="L1327" s="13">
        <f t="shared" si="196"/>
        <v>22.47644464748599</v>
      </c>
      <c r="M1327" s="10">
        <f t="shared" si="197"/>
        <v>0.19073036177166003</v>
      </c>
      <c r="N1327" s="10">
        <f t="shared" si="195"/>
        <v>126.98214098037084</v>
      </c>
      <c r="P1327" s="13">
        <f t="shared" si="192"/>
        <v>14.234148867561437</v>
      </c>
      <c r="Q1327" s="13">
        <f t="shared" si="193"/>
        <v>8.242295779924554</v>
      </c>
    </row>
    <row r="1328" spans="9:17" ht="12.75">
      <c r="I1328" s="2">
        <f t="shared" si="191"/>
        <v>19080</v>
      </c>
      <c r="J1328" s="13">
        <f t="shared" si="190"/>
        <v>-8.237996888053711</v>
      </c>
      <c r="K1328" s="10">
        <f t="shared" si="194"/>
        <v>175</v>
      </c>
      <c r="L1328" s="13">
        <f t="shared" si="196"/>
        <v>22.47214575561515</v>
      </c>
      <c r="M1328" s="10">
        <f t="shared" si="197"/>
        <v>0.1864314699008176</v>
      </c>
      <c r="N1328" s="10">
        <f t="shared" si="195"/>
        <v>126.99132497664037</v>
      </c>
      <c r="P1328" s="13">
        <f t="shared" si="192"/>
        <v>14.234148867561437</v>
      </c>
      <c r="Q1328" s="13">
        <f t="shared" si="193"/>
        <v>8.237996888053711</v>
      </c>
    </row>
    <row r="1329" spans="9:17" ht="12.75">
      <c r="I1329" s="2">
        <f t="shared" si="191"/>
        <v>19095</v>
      </c>
      <c r="J1329" s="13">
        <f t="shared" si="190"/>
        <v>-8.233794889363086</v>
      </c>
      <c r="K1329" s="10">
        <f t="shared" si="194"/>
        <v>175</v>
      </c>
      <c r="L1329" s="13">
        <f t="shared" si="196"/>
        <v>22.467943756924523</v>
      </c>
      <c r="M1329" s="10">
        <f t="shared" si="197"/>
        <v>-0.38919910021839144</v>
      </c>
      <c r="N1329" s="10">
        <f t="shared" si="195"/>
        <v>127.00030197384307</v>
      </c>
      <c r="P1329" s="13">
        <f t="shared" si="192"/>
        <v>14.234148867561437</v>
      </c>
      <c r="Q1329" s="13">
        <f t="shared" si="193"/>
        <v>8.233794889363086</v>
      </c>
    </row>
    <row r="1330" spans="9:17" ht="12.75">
      <c r="I1330" s="2">
        <f t="shared" si="191"/>
        <v>19110</v>
      </c>
      <c r="J1330" s="13">
        <f t="shared" si="190"/>
        <v>-8.242567089198122</v>
      </c>
      <c r="K1330" s="10">
        <f t="shared" si="194"/>
        <v>175</v>
      </c>
      <c r="L1330" s="13">
        <f t="shared" si="196"/>
        <v>22.47671595675956</v>
      </c>
      <c r="M1330" s="10">
        <f t="shared" si="197"/>
        <v>0.19100167104522825</v>
      </c>
      <c r="N1330" s="10">
        <f t="shared" si="195"/>
        <v>126.98156136510458</v>
      </c>
      <c r="P1330" s="13">
        <f t="shared" si="192"/>
        <v>14.234148867561437</v>
      </c>
      <c r="Q1330" s="13">
        <f t="shared" si="193"/>
        <v>8.242567089198122</v>
      </c>
    </row>
    <row r="1331" spans="9:17" ht="12.75">
      <c r="I1331" s="2">
        <f t="shared" si="191"/>
        <v>19125</v>
      </c>
      <c r="J1331" s="13">
        <f t="shared" si="190"/>
        <v>-8.23826208225876</v>
      </c>
      <c r="K1331" s="10">
        <f t="shared" si="194"/>
        <v>175</v>
      </c>
      <c r="L1331" s="13">
        <f t="shared" si="196"/>
        <v>22.472410949820198</v>
      </c>
      <c r="M1331" s="10">
        <f t="shared" si="197"/>
        <v>0.18669666410586672</v>
      </c>
      <c r="N1331" s="10">
        <f t="shared" si="195"/>
        <v>126.99075842538413</v>
      </c>
      <c r="P1331" s="13">
        <f t="shared" si="192"/>
        <v>14.234148867561437</v>
      </c>
      <c r="Q1331" s="13">
        <f t="shared" si="193"/>
        <v>8.23826208225876</v>
      </c>
    </row>
    <row r="1332" spans="9:17" ht="12.75">
      <c r="I1332" s="2">
        <f t="shared" si="191"/>
        <v>19140</v>
      </c>
      <c r="J1332" s="13">
        <f t="shared" si="190"/>
        <v>-8.234054106327797</v>
      </c>
      <c r="K1332" s="10">
        <f t="shared" si="194"/>
        <v>175</v>
      </c>
      <c r="L1332" s="13">
        <f t="shared" si="196"/>
        <v>22.468202973889234</v>
      </c>
      <c r="M1332" s="10">
        <f t="shared" si="197"/>
        <v>0.18248868817490305</v>
      </c>
      <c r="N1332" s="10">
        <f t="shared" si="195"/>
        <v>126.99974819214573</v>
      </c>
      <c r="P1332" s="13">
        <f t="shared" si="192"/>
        <v>14.234148867561437</v>
      </c>
      <c r="Q1332" s="13">
        <f t="shared" si="193"/>
        <v>8.234054106327797</v>
      </c>
    </row>
    <row r="1333" spans="9:17" ht="12.75">
      <c r="I1333" s="2">
        <f t="shared" si="191"/>
        <v>19155</v>
      </c>
      <c r="J1333" s="13">
        <f t="shared" si="190"/>
        <v>-8.229940974413037</v>
      </c>
      <c r="K1333" s="10">
        <f t="shared" si="194"/>
        <v>175</v>
      </c>
      <c r="L1333" s="13">
        <f t="shared" si="196"/>
        <v>22.464089841974474</v>
      </c>
      <c r="M1333" s="10">
        <f t="shared" si="197"/>
        <v>-0.3930530151684408</v>
      </c>
      <c r="N1333" s="10">
        <f t="shared" si="195"/>
        <v>127.0085353376</v>
      </c>
      <c r="P1333" s="13">
        <f t="shared" si="192"/>
        <v>14.234148867561437</v>
      </c>
      <c r="Q1333" s="13">
        <f t="shared" si="193"/>
        <v>8.229940974413037</v>
      </c>
    </row>
    <row r="1334" spans="9:17" ht="12.75">
      <c r="I1334" s="2">
        <f t="shared" si="191"/>
        <v>19170</v>
      </c>
      <c r="J1334" s="13">
        <f t="shared" si="190"/>
        <v>-8.238800038046243</v>
      </c>
      <c r="K1334" s="10">
        <f t="shared" si="194"/>
        <v>175</v>
      </c>
      <c r="L1334" s="13">
        <f t="shared" si="196"/>
        <v>22.47294890560768</v>
      </c>
      <c r="M1334" s="10">
        <f t="shared" si="197"/>
        <v>0.18723461989334922</v>
      </c>
      <c r="N1334" s="10">
        <f t="shared" si="195"/>
        <v>126.98960915620178</v>
      </c>
      <c r="P1334" s="13">
        <f t="shared" si="192"/>
        <v>14.234148867561437</v>
      </c>
      <c r="Q1334" s="13">
        <f t="shared" si="193"/>
        <v>8.238800038046243</v>
      </c>
    </row>
    <row r="1335" spans="9:17" ht="12.75">
      <c r="I1335" s="2">
        <f t="shared" si="191"/>
        <v>19185</v>
      </c>
      <c r="J1335" s="13">
        <f t="shared" si="190"/>
        <v>-8.234579937072677</v>
      </c>
      <c r="K1335" s="10">
        <f t="shared" si="194"/>
        <v>175</v>
      </c>
      <c r="L1335" s="13">
        <f t="shared" si="196"/>
        <v>22.468728804634114</v>
      </c>
      <c r="M1335" s="10">
        <f t="shared" si="197"/>
        <v>0.1830145189197836</v>
      </c>
      <c r="N1335" s="10">
        <f t="shared" si="195"/>
        <v>126.99862482646348</v>
      </c>
      <c r="P1335" s="13">
        <f t="shared" si="192"/>
        <v>14.234148867561437</v>
      </c>
      <c r="Q1335" s="13">
        <f t="shared" si="193"/>
        <v>8.234579937072677</v>
      </c>
    </row>
    <row r="1336" spans="9:17" ht="12.75">
      <c r="I1336" s="2">
        <f t="shared" si="191"/>
        <v>19200</v>
      </c>
      <c r="J1336" s="13">
        <f aca="true" t="shared" si="198" ref="J1336:J1399">(D$7-K1336)*(1/D$13+1/D$14)+D$16*(D$19*D$21*D$17+D$20*D$22*D$18)*(D$7^4-K1336^4)-(K1336-N1336)/D$12</f>
        <v>-8.230454953402944</v>
      </c>
      <c r="K1336" s="10">
        <f t="shared" si="194"/>
        <v>175</v>
      </c>
      <c r="L1336" s="13">
        <f t="shared" si="196"/>
        <v>22.46460382096438</v>
      </c>
      <c r="M1336" s="10">
        <f t="shared" si="197"/>
        <v>-0.39253903617853325</v>
      </c>
      <c r="N1336" s="10">
        <f t="shared" si="195"/>
        <v>127.0074372915761</v>
      </c>
      <c r="P1336" s="13">
        <f t="shared" si="192"/>
        <v>14.234148867561437</v>
      </c>
      <c r="Q1336" s="13">
        <f t="shared" si="193"/>
        <v>8.230454953402944</v>
      </c>
    </row>
    <row r="1337" spans="9:17" ht="12.75">
      <c r="I1337" s="2">
        <f aca="true" t="shared" si="199" ref="I1337:I1400">I1336+I$41</f>
        <v>19215</v>
      </c>
      <c r="J1337" s="13">
        <f t="shared" si="198"/>
        <v>-8.239302432409133</v>
      </c>
      <c r="K1337" s="10">
        <f t="shared" si="194"/>
        <v>175</v>
      </c>
      <c r="L1337" s="13">
        <f t="shared" si="196"/>
        <v>22.47345129997057</v>
      </c>
      <c r="M1337" s="10">
        <f t="shared" si="197"/>
        <v>0.18773701425623912</v>
      </c>
      <c r="N1337" s="10">
        <f t="shared" si="195"/>
        <v>126.98853585915379</v>
      </c>
      <c r="P1337" s="13">
        <f aca="true" t="shared" si="200" ref="P1337:P1400">(D$7-K1337)*(1/D$13+1/D$14)+D$16*(D$19*D$21*D$17+D$20*D$22*D$18)*(D$7^4-K1337^4)</f>
        <v>14.234148867561437</v>
      </c>
      <c r="Q1337" s="13">
        <f aca="true" t="shared" si="201" ref="Q1337:Q1400">IF(K1337=D$8,-J1337,0)</f>
        <v>8.239302432409133</v>
      </c>
    </row>
    <row r="1338" spans="9:17" ht="12.75">
      <c r="I1338" s="2">
        <f t="shared" si="199"/>
        <v>19230</v>
      </c>
      <c r="J1338" s="13">
        <f t="shared" si="198"/>
        <v>-8.235071007915693</v>
      </c>
      <c r="K1338" s="10">
        <f t="shared" si="194"/>
        <v>175</v>
      </c>
      <c r="L1338" s="13">
        <f t="shared" si="196"/>
        <v>22.46921987547713</v>
      </c>
      <c r="M1338" s="10">
        <f t="shared" si="197"/>
        <v>0.18350558976279885</v>
      </c>
      <c r="N1338" s="10">
        <f t="shared" si="195"/>
        <v>126.99757572057159</v>
      </c>
      <c r="P1338" s="13">
        <f t="shared" si="200"/>
        <v>14.234148867561437</v>
      </c>
      <c r="Q1338" s="13">
        <f t="shared" si="201"/>
        <v>8.235071007915693</v>
      </c>
    </row>
    <row r="1339" spans="9:17" ht="12.75">
      <c r="I1339" s="2">
        <f t="shared" si="199"/>
        <v>19245</v>
      </c>
      <c r="J1339" s="13">
        <f t="shared" si="198"/>
        <v>-8.230934955948097</v>
      </c>
      <c r="K1339" s="10">
        <f t="shared" si="194"/>
        <v>175</v>
      </c>
      <c r="L1339" s="13">
        <f t="shared" si="196"/>
        <v>22.465083823509534</v>
      </c>
      <c r="M1339" s="10">
        <f t="shared" si="197"/>
        <v>-0.39205903363338024</v>
      </c>
      <c r="N1339" s="10">
        <f t="shared" si="195"/>
        <v>127.00641183159327</v>
      </c>
      <c r="P1339" s="13">
        <f t="shared" si="200"/>
        <v>14.234148867561437</v>
      </c>
      <c r="Q1339" s="13">
        <f t="shared" si="201"/>
        <v>8.230934955948097</v>
      </c>
    </row>
    <row r="1340" spans="9:17" ht="12.75">
      <c r="I1340" s="2">
        <f t="shared" si="199"/>
        <v>19260</v>
      </c>
      <c r="J1340" s="13">
        <f t="shared" si="198"/>
        <v>-8.239771616125967</v>
      </c>
      <c r="K1340" s="10">
        <f t="shared" si="194"/>
        <v>175</v>
      </c>
      <c r="L1340" s="13">
        <f t="shared" si="196"/>
        <v>22.473920483687404</v>
      </c>
      <c r="M1340" s="10">
        <f t="shared" si="197"/>
        <v>0.18820619797307359</v>
      </c>
      <c r="N1340" s="10">
        <f t="shared" si="195"/>
        <v>126.98753351212237</v>
      </c>
      <c r="P1340" s="13">
        <f t="shared" si="200"/>
        <v>14.234148867561437</v>
      </c>
      <c r="Q1340" s="13">
        <f t="shared" si="201"/>
        <v>8.239771616125967</v>
      </c>
    </row>
    <row r="1341" spans="9:17" ht="12.75">
      <c r="I1341" s="2">
        <f t="shared" si="199"/>
        <v>19275</v>
      </c>
      <c r="J1341" s="13">
        <f t="shared" si="198"/>
        <v>-8.235529616650926</v>
      </c>
      <c r="K1341" s="10">
        <f t="shared" si="194"/>
        <v>175</v>
      </c>
      <c r="L1341" s="13">
        <f t="shared" si="196"/>
        <v>22.469678484212363</v>
      </c>
      <c r="M1341" s="10">
        <f t="shared" si="197"/>
        <v>0.1839641984980318</v>
      </c>
      <c r="N1341" s="10">
        <f t="shared" si="195"/>
        <v>126.99659596554632</v>
      </c>
      <c r="P1341" s="13">
        <f t="shared" si="200"/>
        <v>14.234148867561437</v>
      </c>
      <c r="Q1341" s="13">
        <f t="shared" si="201"/>
        <v>8.235529616650926</v>
      </c>
    </row>
    <row r="1342" spans="9:17" ht="12.75">
      <c r="I1342" s="2">
        <f t="shared" si="199"/>
        <v>19290</v>
      </c>
      <c r="J1342" s="13">
        <f t="shared" si="198"/>
        <v>-8.231383228052358</v>
      </c>
      <c r="K1342" s="10">
        <f t="shared" si="194"/>
        <v>175</v>
      </c>
      <c r="L1342" s="13">
        <f t="shared" si="196"/>
        <v>22.465532095613796</v>
      </c>
      <c r="M1342" s="10">
        <f t="shared" si="197"/>
        <v>-0.3916107615291189</v>
      </c>
      <c r="N1342" s="10">
        <f t="shared" si="195"/>
        <v>127.00545415937053</v>
      </c>
      <c r="P1342" s="13">
        <f t="shared" si="200"/>
        <v>14.234148867561437</v>
      </c>
      <c r="Q1342" s="13">
        <f t="shared" si="201"/>
        <v>8.231383228052358</v>
      </c>
    </row>
    <row r="1343" spans="9:17" ht="12.75">
      <c r="I1343" s="2">
        <f t="shared" si="199"/>
        <v>19305</v>
      </c>
      <c r="J1343" s="13">
        <f t="shared" si="198"/>
        <v>-8.240209784577686</v>
      </c>
      <c r="K1343" s="10">
        <f t="shared" si="194"/>
        <v>175</v>
      </c>
      <c r="L1343" s="13">
        <f t="shared" si="196"/>
        <v>22.474358652139124</v>
      </c>
      <c r="M1343" s="10">
        <f t="shared" si="197"/>
        <v>0.18864436642479276</v>
      </c>
      <c r="N1343" s="10">
        <f t="shared" si="195"/>
        <v>126.98659742497551</v>
      </c>
      <c r="P1343" s="13">
        <f t="shared" si="200"/>
        <v>14.234148867561437</v>
      </c>
      <c r="Q1343" s="13">
        <f t="shared" si="201"/>
        <v>8.240209784577686</v>
      </c>
    </row>
    <row r="1344" spans="9:17" ht="12.75">
      <c r="I1344" s="2">
        <f t="shared" si="199"/>
        <v>19320</v>
      </c>
      <c r="J1344" s="13">
        <f t="shared" si="198"/>
        <v>-8.235957909177397</v>
      </c>
      <c r="K1344" s="10">
        <f t="shared" si="194"/>
        <v>175</v>
      </c>
      <c r="L1344" s="13">
        <f t="shared" si="196"/>
        <v>22.470106776738834</v>
      </c>
      <c r="M1344" s="10">
        <f t="shared" si="197"/>
        <v>0.1843924910245036</v>
      </c>
      <c r="N1344" s="10">
        <f t="shared" si="195"/>
        <v>126.99568097696704</v>
      </c>
      <c r="P1344" s="13">
        <f t="shared" si="200"/>
        <v>14.234148867561437</v>
      </c>
      <c r="Q1344" s="13">
        <f t="shared" si="201"/>
        <v>8.235957909177397</v>
      </c>
    </row>
    <row r="1345" spans="9:17" ht="12.75">
      <c r="I1345" s="2">
        <f t="shared" si="199"/>
        <v>19335</v>
      </c>
      <c r="J1345" s="13">
        <f t="shared" si="198"/>
        <v>-8.231801867248116</v>
      </c>
      <c r="K1345" s="10">
        <f t="shared" si="194"/>
        <v>175</v>
      </c>
      <c r="L1345" s="13">
        <f t="shared" si="196"/>
        <v>22.465950734809553</v>
      </c>
      <c r="M1345" s="10">
        <f t="shared" si="197"/>
        <v>-0.3911921223333614</v>
      </c>
      <c r="N1345" s="10">
        <f t="shared" si="195"/>
        <v>127.00455979381596</v>
      </c>
      <c r="P1345" s="13">
        <f t="shared" si="200"/>
        <v>14.234148867561437</v>
      </c>
      <c r="Q1345" s="13">
        <f t="shared" si="201"/>
        <v>8.231801867248116</v>
      </c>
    </row>
    <row r="1346" spans="9:17" ht="12.75">
      <c r="I1346" s="2">
        <f t="shared" si="199"/>
        <v>19350</v>
      </c>
      <c r="J1346" s="13">
        <f t="shared" si="198"/>
        <v>-8.24061898802017</v>
      </c>
      <c r="K1346" s="10">
        <f t="shared" si="194"/>
        <v>175</v>
      </c>
      <c r="L1346" s="13">
        <f t="shared" si="196"/>
        <v>22.474767855581607</v>
      </c>
      <c r="M1346" s="10">
        <f t="shared" si="197"/>
        <v>0.1890535698672764</v>
      </c>
      <c r="N1346" s="10">
        <f t="shared" si="195"/>
        <v>126.98572321762111</v>
      </c>
      <c r="P1346" s="13">
        <f t="shared" si="200"/>
        <v>14.234148867561437</v>
      </c>
      <c r="Q1346" s="13">
        <f t="shared" si="201"/>
        <v>8.24061898802017</v>
      </c>
    </row>
    <row r="1347" spans="9:17" ht="12.75">
      <c r="I1347" s="2">
        <f t="shared" si="199"/>
        <v>19365</v>
      </c>
      <c r="J1347" s="13">
        <f t="shared" si="198"/>
        <v>-8.236357889540056</v>
      </c>
      <c r="K1347" s="10">
        <f t="shared" si="194"/>
        <v>175</v>
      </c>
      <c r="L1347" s="13">
        <f t="shared" si="196"/>
        <v>22.470506757101493</v>
      </c>
      <c r="M1347" s="10">
        <f t="shared" si="197"/>
        <v>0.18479247138716204</v>
      </c>
      <c r="N1347" s="10">
        <f t="shared" si="195"/>
        <v>126.994826473465</v>
      </c>
      <c r="P1347" s="13">
        <f t="shared" si="200"/>
        <v>14.234148867561437</v>
      </c>
      <c r="Q1347" s="13">
        <f t="shared" si="201"/>
        <v>8.236357889540056</v>
      </c>
    </row>
    <row r="1348" spans="9:17" ht="12.75">
      <c r="I1348" s="2">
        <f t="shared" si="199"/>
        <v>19380</v>
      </c>
      <c r="J1348" s="13">
        <f t="shared" si="198"/>
        <v>-8.232192832410917</v>
      </c>
      <c r="K1348" s="10">
        <f t="shared" si="194"/>
        <v>175</v>
      </c>
      <c r="L1348" s="13">
        <f t="shared" si="196"/>
        <v>22.466341699972354</v>
      </c>
      <c r="M1348" s="10">
        <f t="shared" si="197"/>
        <v>-0.39080115717056074</v>
      </c>
      <c r="N1348" s="10">
        <f t="shared" si="195"/>
        <v>127.00372455005906</v>
      </c>
      <c r="P1348" s="13">
        <f t="shared" si="200"/>
        <v>14.234148867561437</v>
      </c>
      <c r="Q1348" s="13">
        <f t="shared" si="201"/>
        <v>8.232192832410917</v>
      </c>
    </row>
    <row r="1349" spans="9:17" ht="12.75">
      <c r="I1349" s="2">
        <f t="shared" si="199"/>
        <v>19395</v>
      </c>
      <c r="J1349" s="13">
        <f t="shared" si="198"/>
        <v>-8.241001141177666</v>
      </c>
      <c r="K1349" s="10">
        <f t="shared" si="194"/>
        <v>175</v>
      </c>
      <c r="L1349" s="13">
        <f t="shared" si="196"/>
        <v>22.475150008739103</v>
      </c>
      <c r="M1349" s="10">
        <f t="shared" si="197"/>
        <v>0.18943572302477207</v>
      </c>
      <c r="N1349" s="10">
        <f t="shared" si="195"/>
        <v>126.98490679951192</v>
      </c>
      <c r="P1349" s="13">
        <f t="shared" si="200"/>
        <v>14.234148867561437</v>
      </c>
      <c r="Q1349" s="13">
        <f t="shared" si="201"/>
        <v>8.241001141177666</v>
      </c>
    </row>
    <row r="1350" spans="9:17" ht="12.75">
      <c r="I1350" s="2">
        <f t="shared" si="199"/>
        <v>19410</v>
      </c>
      <c r="J1350" s="13">
        <f t="shared" si="198"/>
        <v>-8.236731429306968</v>
      </c>
      <c r="K1350" s="10">
        <f t="shared" si="194"/>
        <v>175</v>
      </c>
      <c r="L1350" s="13">
        <f t="shared" si="196"/>
        <v>22.470880296868405</v>
      </c>
      <c r="M1350" s="10">
        <f t="shared" si="197"/>
        <v>0.18516601115407383</v>
      </c>
      <c r="N1350" s="10">
        <f t="shared" si="195"/>
        <v>126.99402845669023</v>
      </c>
      <c r="P1350" s="13">
        <f t="shared" si="200"/>
        <v>14.234148867561437</v>
      </c>
      <c r="Q1350" s="13">
        <f t="shared" si="201"/>
        <v>8.236731429306968</v>
      </c>
    </row>
    <row r="1351" spans="9:17" ht="12.75">
      <c r="I1351" s="2">
        <f t="shared" si="199"/>
        <v>19425</v>
      </c>
      <c r="J1351" s="13">
        <f t="shared" si="198"/>
        <v>-8.232557952925372</v>
      </c>
      <c r="K1351" s="10">
        <f t="shared" si="194"/>
        <v>175</v>
      </c>
      <c r="L1351" s="13">
        <f t="shared" si="196"/>
        <v>22.46670682048681</v>
      </c>
      <c r="M1351" s="10">
        <f t="shared" si="197"/>
        <v>-0.39043603665610505</v>
      </c>
      <c r="N1351" s="10">
        <f t="shared" si="195"/>
        <v>127.00294451986909</v>
      </c>
      <c r="P1351" s="13">
        <f t="shared" si="200"/>
        <v>14.234148867561437</v>
      </c>
      <c r="Q1351" s="13">
        <f t="shared" si="201"/>
        <v>8.232557952925372</v>
      </c>
    </row>
    <row r="1352" spans="9:17" ht="12.75">
      <c r="I1352" s="2">
        <f t="shared" si="199"/>
        <v>19440</v>
      </c>
      <c r="J1352" s="13">
        <f t="shared" si="198"/>
        <v>-8.241358032202086</v>
      </c>
      <c r="K1352" s="10">
        <f t="shared" si="194"/>
        <v>175</v>
      </c>
      <c r="L1352" s="13">
        <f t="shared" si="196"/>
        <v>22.475506899763523</v>
      </c>
      <c r="M1352" s="10">
        <f t="shared" si="197"/>
        <v>0.18979261404919257</v>
      </c>
      <c r="N1352" s="10">
        <f t="shared" si="195"/>
        <v>126.9841443505052</v>
      </c>
      <c r="P1352" s="13">
        <f t="shared" si="200"/>
        <v>14.234148867561437</v>
      </c>
      <c r="Q1352" s="13">
        <f t="shared" si="201"/>
        <v>8.241358032202086</v>
      </c>
    </row>
    <row r="1353" spans="9:17" ht="12.75">
      <c r="I1353" s="2">
        <f t="shared" si="199"/>
        <v>19455</v>
      </c>
      <c r="J1353" s="13">
        <f t="shared" si="198"/>
        <v>-8.2370802763267</v>
      </c>
      <c r="K1353" s="10">
        <f t="shared" si="194"/>
        <v>175</v>
      </c>
      <c r="L1353" s="13">
        <f t="shared" si="196"/>
        <v>22.471229143888138</v>
      </c>
      <c r="M1353" s="10">
        <f t="shared" si="197"/>
        <v>0.18551485817380708</v>
      </c>
      <c r="N1353" s="10">
        <f t="shared" si="195"/>
        <v>126.99328319260262</v>
      </c>
      <c r="P1353" s="13">
        <f t="shared" si="200"/>
        <v>14.234148867561437</v>
      </c>
      <c r="Q1353" s="13">
        <f t="shared" si="201"/>
        <v>8.2370802763267</v>
      </c>
    </row>
    <row r="1354" spans="9:17" ht="12.75">
      <c r="I1354" s="2">
        <f t="shared" si="199"/>
        <v>19470</v>
      </c>
      <c r="J1354" s="13">
        <f t="shared" si="198"/>
        <v>-8.232898937245096</v>
      </c>
      <c r="K1354" s="10">
        <f t="shared" si="194"/>
        <v>175</v>
      </c>
      <c r="L1354" s="13">
        <f t="shared" si="196"/>
        <v>22.467047804806533</v>
      </c>
      <c r="M1354" s="10">
        <f t="shared" si="197"/>
        <v>-0.3900950523363811</v>
      </c>
      <c r="N1354" s="10">
        <f t="shared" si="195"/>
        <v>127.00221605336786</v>
      </c>
      <c r="P1354" s="13">
        <f t="shared" si="200"/>
        <v>14.234148867561437</v>
      </c>
      <c r="Q1354" s="13">
        <f t="shared" si="201"/>
        <v>8.232898937245096</v>
      </c>
    </row>
    <row r="1355" spans="9:17" ht="12.75">
      <c r="I1355" s="2">
        <f t="shared" si="199"/>
        <v>19485</v>
      </c>
      <c r="J1355" s="13">
        <f t="shared" si="198"/>
        <v>-8.24169133104003</v>
      </c>
      <c r="K1355" s="10">
        <f t="shared" si="194"/>
        <v>175</v>
      </c>
      <c r="L1355" s="13">
        <f t="shared" si="196"/>
        <v>22.475840198601468</v>
      </c>
      <c r="M1355" s="10">
        <f t="shared" si="197"/>
        <v>0.19012591288713665</v>
      </c>
      <c r="N1355" s="10">
        <f t="shared" si="195"/>
        <v>126.98343230298778</v>
      </c>
      <c r="P1355" s="13">
        <f t="shared" si="200"/>
        <v>14.234148867561437</v>
      </c>
      <c r="Q1355" s="13">
        <f t="shared" si="201"/>
        <v>8.24169133104003</v>
      </c>
    </row>
    <row r="1356" spans="9:17" ht="12.75">
      <c r="I1356" s="2">
        <f t="shared" si="199"/>
        <v>19500</v>
      </c>
      <c r="J1356" s="13">
        <f t="shared" si="198"/>
        <v>-8.237406062906757</v>
      </c>
      <c r="K1356" s="10">
        <f t="shared" si="194"/>
        <v>175</v>
      </c>
      <c r="L1356" s="13">
        <f t="shared" si="196"/>
        <v>22.471554930468194</v>
      </c>
      <c r="M1356" s="10">
        <f t="shared" si="197"/>
        <v>0.18584064475386342</v>
      </c>
      <c r="N1356" s="10">
        <f t="shared" si="195"/>
        <v>126.99258719399977</v>
      </c>
      <c r="P1356" s="13">
        <f t="shared" si="200"/>
        <v>14.234148867561437</v>
      </c>
      <c r="Q1356" s="13">
        <f t="shared" si="201"/>
        <v>8.237406062906757</v>
      </c>
    </row>
    <row r="1357" spans="9:17" ht="12.75">
      <c r="I1357" s="2">
        <f t="shared" si="199"/>
        <v>19515</v>
      </c>
      <c r="J1357" s="13">
        <f t="shared" si="198"/>
        <v>-8.233217380886838</v>
      </c>
      <c r="K1357" s="10">
        <f t="shared" si="194"/>
        <v>175</v>
      </c>
      <c r="L1357" s="13">
        <f t="shared" si="196"/>
        <v>22.467366248448275</v>
      </c>
      <c r="M1357" s="10">
        <f t="shared" si="197"/>
        <v>-0.38977660869463904</v>
      </c>
      <c r="N1357" s="10">
        <f t="shared" si="195"/>
        <v>127.00153574195141</v>
      </c>
      <c r="P1357" s="13">
        <f t="shared" si="200"/>
        <v>14.234148867561437</v>
      </c>
      <c r="Q1357" s="13">
        <f t="shared" si="201"/>
        <v>8.233217380886838</v>
      </c>
    </row>
    <row r="1358" spans="9:17" ht="12.75">
      <c r="I1358" s="2">
        <f t="shared" si="199"/>
        <v>19530</v>
      </c>
      <c r="J1358" s="13">
        <f t="shared" si="198"/>
        <v>-8.242002597246724</v>
      </c>
      <c r="K1358" s="10">
        <f t="shared" si="194"/>
        <v>175</v>
      </c>
      <c r="L1358" s="13">
        <f t="shared" si="196"/>
        <v>22.47615146480816</v>
      </c>
      <c r="M1358" s="10">
        <f t="shared" si="197"/>
        <v>0.19043717909383062</v>
      </c>
      <c r="N1358" s="10">
        <f t="shared" si="195"/>
        <v>126.98276732518256</v>
      </c>
      <c r="P1358" s="13">
        <f t="shared" si="200"/>
        <v>14.234148867561437</v>
      </c>
      <c r="Q1358" s="13">
        <f t="shared" si="201"/>
        <v>8.242002597246724</v>
      </c>
    </row>
    <row r="1359" spans="9:17" ht="12.75">
      <c r="I1359" s="2">
        <f t="shared" si="199"/>
        <v>19545</v>
      </c>
      <c r="J1359" s="13">
        <f t="shared" si="198"/>
        <v>-8.237710313451377</v>
      </c>
      <c r="K1359" s="10">
        <f aca="true" t="shared" si="202" ref="K1359:K1422">MAX(D$8,K1358+J1358*I$41/VLOOKUP(K1358,E$44:G$251,3,TRUE))</f>
        <v>175</v>
      </c>
      <c r="L1359" s="13">
        <f t="shared" si="196"/>
        <v>22.471859181012814</v>
      </c>
      <c r="M1359" s="10">
        <f t="shared" si="197"/>
        <v>0.186144895298483</v>
      </c>
      <c r="N1359" s="10">
        <f aca="true" t="shared" si="203" ref="N1359:N1422">N1358+M1358*I$41/VLOOKUP(N1358,A$44:C$251,3,TRUE)</f>
        <v>126.9919372041999</v>
      </c>
      <c r="P1359" s="13">
        <f t="shared" si="200"/>
        <v>14.234148867561437</v>
      </c>
      <c r="Q1359" s="13">
        <f t="shared" si="201"/>
        <v>8.237710313451377</v>
      </c>
    </row>
    <row r="1360" spans="9:17" ht="12.75">
      <c r="I1360" s="2">
        <f t="shared" si="199"/>
        <v>19560</v>
      </c>
      <c r="J1360" s="13">
        <f t="shared" si="198"/>
        <v>-8.23351477389614</v>
      </c>
      <c r="K1360" s="10">
        <f t="shared" si="202"/>
        <v>175</v>
      </c>
      <c r="L1360" s="13">
        <f t="shared" si="196"/>
        <v>22.467663641457577</v>
      </c>
      <c r="M1360" s="10">
        <f t="shared" si="197"/>
        <v>-0.3894792156853377</v>
      </c>
      <c r="N1360" s="10">
        <f t="shared" si="203"/>
        <v>127.00090040234063</v>
      </c>
      <c r="P1360" s="13">
        <f t="shared" si="200"/>
        <v>14.234148867561437</v>
      </c>
      <c r="Q1360" s="13">
        <f t="shared" si="201"/>
        <v>8.23351477389614</v>
      </c>
    </row>
    <row r="1361" spans="9:17" ht="12.75">
      <c r="I1361" s="2">
        <f t="shared" si="199"/>
        <v>19575</v>
      </c>
      <c r="J1361" s="13">
        <f t="shared" si="198"/>
        <v>-8.24229328728342</v>
      </c>
      <c r="K1361" s="10">
        <f t="shared" si="202"/>
        <v>175</v>
      </c>
      <c r="L1361" s="13">
        <f t="shared" si="196"/>
        <v>22.476442154844857</v>
      </c>
      <c r="M1361" s="10">
        <f t="shared" si="197"/>
        <v>0.19072786913052653</v>
      </c>
      <c r="N1361" s="10">
        <f t="shared" si="203"/>
        <v>126.98214630555871</v>
      </c>
      <c r="P1361" s="13">
        <f t="shared" si="200"/>
        <v>14.234148867561437</v>
      </c>
      <c r="Q1361" s="13">
        <f t="shared" si="201"/>
        <v>8.24229328728342</v>
      </c>
    </row>
    <row r="1362" spans="9:17" ht="12.75">
      <c r="I1362" s="2">
        <f t="shared" si="199"/>
        <v>19590</v>
      </c>
      <c r="J1362" s="13">
        <f t="shared" si="198"/>
        <v>-8.237994451594478</v>
      </c>
      <c r="K1362" s="10">
        <f t="shared" si="202"/>
        <v>175</v>
      </c>
      <c r="L1362" s="13">
        <f t="shared" si="196"/>
        <v>22.472143319155915</v>
      </c>
      <c r="M1362" s="10">
        <f t="shared" si="197"/>
        <v>0.18642903344158412</v>
      </c>
      <c r="N1362" s="10">
        <f t="shared" si="203"/>
        <v>126.99133018180328</v>
      </c>
      <c r="P1362" s="13">
        <f t="shared" si="200"/>
        <v>14.234148867561437</v>
      </c>
      <c r="Q1362" s="13">
        <f t="shared" si="201"/>
        <v>8.237994451594478</v>
      </c>
    </row>
    <row r="1363" spans="9:17" ht="12.75">
      <c r="I1363" s="2">
        <f t="shared" si="199"/>
        <v>19605</v>
      </c>
      <c r="J1363" s="13">
        <f t="shared" si="198"/>
        <v>-8.233792507819466</v>
      </c>
      <c r="K1363" s="10">
        <f t="shared" si="202"/>
        <v>175</v>
      </c>
      <c r="L1363" s="13">
        <f t="shared" si="196"/>
        <v>22.467941375380903</v>
      </c>
      <c r="M1363" s="10">
        <f t="shared" si="197"/>
        <v>-0.3892014817620115</v>
      </c>
      <c r="N1363" s="10">
        <f t="shared" si="203"/>
        <v>127.00030706168626</v>
      </c>
      <c r="P1363" s="13">
        <f t="shared" si="200"/>
        <v>14.234148867561437</v>
      </c>
      <c r="Q1363" s="13">
        <f t="shared" si="201"/>
        <v>8.233792507819466</v>
      </c>
    </row>
    <row r="1364" spans="9:17" ht="12.75">
      <c r="I1364" s="2">
        <f t="shared" si="199"/>
        <v>19620</v>
      </c>
      <c r="J1364" s="13">
        <f t="shared" si="198"/>
        <v>-8.242564761332368</v>
      </c>
      <c r="K1364" s="10">
        <f t="shared" si="202"/>
        <v>175</v>
      </c>
      <c r="L1364" s="13">
        <f t="shared" si="196"/>
        <v>22.476713628893805</v>
      </c>
      <c r="M1364" s="10">
        <f t="shared" si="197"/>
        <v>0.19099934317947387</v>
      </c>
      <c r="N1364" s="10">
        <f t="shared" si="203"/>
        <v>126.98156633827233</v>
      </c>
      <c r="P1364" s="13">
        <f t="shared" si="200"/>
        <v>14.234148867561437</v>
      </c>
      <c r="Q1364" s="13">
        <f t="shared" si="201"/>
        <v>8.242564761332368</v>
      </c>
    </row>
    <row r="1365" spans="9:17" ht="12.75">
      <c r="I1365" s="2">
        <f t="shared" si="199"/>
        <v>19635</v>
      </c>
      <c r="J1365" s="13">
        <f t="shared" si="198"/>
        <v>-8.23825980686102</v>
      </c>
      <c r="K1365" s="10">
        <f t="shared" si="202"/>
        <v>175</v>
      </c>
      <c r="L1365" s="13">
        <f t="shared" si="196"/>
        <v>22.472408674422457</v>
      </c>
      <c r="M1365" s="10">
        <f t="shared" si="197"/>
        <v>0.18669438870812627</v>
      </c>
      <c r="N1365" s="10">
        <f t="shared" si="203"/>
        <v>126.99076328646112</v>
      </c>
      <c r="P1365" s="13">
        <f t="shared" si="200"/>
        <v>14.234148867561437</v>
      </c>
      <c r="Q1365" s="13">
        <f t="shared" si="201"/>
        <v>8.23825980686102</v>
      </c>
    </row>
    <row r="1366" spans="9:17" ht="12.75">
      <c r="I1366" s="2">
        <f t="shared" si="199"/>
        <v>19650</v>
      </c>
      <c r="J1366" s="13">
        <f t="shared" si="198"/>
        <v>-8.234051882215486</v>
      </c>
      <c r="K1366" s="10">
        <f t="shared" si="202"/>
        <v>175</v>
      </c>
      <c r="L1366" s="13">
        <f t="shared" si="196"/>
        <v>22.468200749776923</v>
      </c>
      <c r="M1366" s="10">
        <f t="shared" si="197"/>
        <v>0.18248646406259184</v>
      </c>
      <c r="N1366" s="10">
        <f t="shared" si="203"/>
        <v>126.9997529436584</v>
      </c>
      <c r="P1366" s="13">
        <f t="shared" si="200"/>
        <v>14.234148867561437</v>
      </c>
      <c r="Q1366" s="13">
        <f t="shared" si="201"/>
        <v>8.234051882215486</v>
      </c>
    </row>
    <row r="1367" spans="9:17" ht="12.75">
      <c r="I1367" s="2">
        <f t="shared" si="199"/>
        <v>19665</v>
      </c>
      <c r="J1367" s="13">
        <f t="shared" si="198"/>
        <v>-8.22993880043023</v>
      </c>
      <c r="K1367" s="10">
        <f t="shared" si="202"/>
        <v>175</v>
      </c>
      <c r="L1367" s="13">
        <f t="shared" si="196"/>
        <v>22.464087667991667</v>
      </c>
      <c r="M1367" s="10">
        <f t="shared" si="197"/>
        <v>-0.39305518915124793</v>
      </c>
      <c r="N1367" s="10">
        <f t="shared" si="203"/>
        <v>127.00853998201781</v>
      </c>
      <c r="P1367" s="13">
        <f t="shared" si="200"/>
        <v>14.234148867561437</v>
      </c>
      <c r="Q1367" s="13">
        <f t="shared" si="201"/>
        <v>8.22993880043023</v>
      </c>
    </row>
    <row r="1368" spans="9:17" ht="12.75">
      <c r="I1368" s="2">
        <f t="shared" si="199"/>
        <v>19680</v>
      </c>
      <c r="J1368" s="13">
        <f t="shared" si="198"/>
        <v>-8.238797913063063</v>
      </c>
      <c r="K1368" s="10">
        <f t="shared" si="202"/>
        <v>175</v>
      </c>
      <c r="L1368" s="13">
        <f t="shared" si="196"/>
        <v>22.4729467806245</v>
      </c>
      <c r="M1368" s="10">
        <f t="shared" si="197"/>
        <v>0.18723249491016958</v>
      </c>
      <c r="N1368" s="10">
        <f t="shared" si="203"/>
        <v>126.98961369593857</v>
      </c>
      <c r="P1368" s="13">
        <f t="shared" si="200"/>
        <v>14.234148867561437</v>
      </c>
      <c r="Q1368" s="13">
        <f t="shared" si="201"/>
        <v>8.238797913063063</v>
      </c>
    </row>
    <row r="1369" spans="9:17" ht="12.75">
      <c r="I1369" s="2">
        <f t="shared" si="199"/>
        <v>19695</v>
      </c>
      <c r="J1369" s="13">
        <f t="shared" si="198"/>
        <v>-8.234577859984718</v>
      </c>
      <c r="K1369" s="10">
        <f t="shared" si="202"/>
        <v>175</v>
      </c>
      <c r="L1369" s="13">
        <f t="shared" si="196"/>
        <v>22.468726727546155</v>
      </c>
      <c r="M1369" s="10">
        <f t="shared" si="197"/>
        <v>0.1830124418318242</v>
      </c>
      <c r="N1369" s="10">
        <f t="shared" si="203"/>
        <v>126.99862926387867</v>
      </c>
      <c r="P1369" s="13">
        <f t="shared" si="200"/>
        <v>14.234148867561437</v>
      </c>
      <c r="Q1369" s="13">
        <f t="shared" si="201"/>
        <v>8.234577859984718</v>
      </c>
    </row>
    <row r="1370" spans="9:17" ht="12.75">
      <c r="I1370" s="2">
        <f t="shared" si="199"/>
        <v>19710</v>
      </c>
      <c r="J1370" s="13">
        <f t="shared" si="198"/>
        <v>-8.230452923130692</v>
      </c>
      <c r="K1370" s="10">
        <f t="shared" si="202"/>
        <v>175</v>
      </c>
      <c r="L1370" s="13">
        <f t="shared" si="196"/>
        <v>22.46460179069213</v>
      </c>
      <c r="M1370" s="10">
        <f t="shared" si="197"/>
        <v>-0.3925410664507858</v>
      </c>
      <c r="N1370" s="10">
        <f t="shared" si="203"/>
        <v>127.00744162897591</v>
      </c>
      <c r="P1370" s="13">
        <f t="shared" si="200"/>
        <v>14.234148867561437</v>
      </c>
      <c r="Q1370" s="13">
        <f t="shared" si="201"/>
        <v>8.230452923130692</v>
      </c>
    </row>
    <row r="1371" spans="9:17" ht="12.75">
      <c r="I1371" s="2">
        <f t="shared" si="199"/>
        <v>19725</v>
      </c>
      <c r="J1371" s="13">
        <f t="shared" si="198"/>
        <v>-8.239300447897403</v>
      </c>
      <c r="K1371" s="10">
        <f t="shared" si="202"/>
        <v>175</v>
      </c>
      <c r="L1371" s="13">
        <f t="shared" si="196"/>
        <v>22.47344931545884</v>
      </c>
      <c r="M1371" s="10">
        <f t="shared" si="197"/>
        <v>0.18773502974450906</v>
      </c>
      <c r="N1371" s="10">
        <f t="shared" si="203"/>
        <v>126.98854009879248</v>
      </c>
      <c r="P1371" s="13">
        <f t="shared" si="200"/>
        <v>14.234148867561437</v>
      </c>
      <c r="Q1371" s="13">
        <f t="shared" si="201"/>
        <v>8.239300447897403</v>
      </c>
    </row>
    <row r="1372" spans="9:17" ht="12.75">
      <c r="I1372" s="2">
        <f t="shared" si="199"/>
        <v>19740</v>
      </c>
      <c r="J1372" s="13">
        <f t="shared" si="198"/>
        <v>-8.235069068133082</v>
      </c>
      <c r="K1372" s="10">
        <f t="shared" si="202"/>
        <v>175</v>
      </c>
      <c r="L1372" s="13">
        <f t="shared" si="196"/>
        <v>22.46921793569452</v>
      </c>
      <c r="M1372" s="10">
        <f t="shared" si="197"/>
        <v>0.18350364998018875</v>
      </c>
      <c r="N1372" s="10">
        <f t="shared" si="203"/>
        <v>126.99757986465262</v>
      </c>
      <c r="P1372" s="13">
        <f t="shared" si="200"/>
        <v>14.234148867561437</v>
      </c>
      <c r="Q1372" s="13">
        <f t="shared" si="201"/>
        <v>8.235069068133082</v>
      </c>
    </row>
    <row r="1373" spans="9:17" ht="12.75">
      <c r="I1373" s="2">
        <f t="shared" si="199"/>
        <v>19755</v>
      </c>
      <c r="J1373" s="13">
        <f t="shared" si="198"/>
        <v>-8.230933059886453</v>
      </c>
      <c r="K1373" s="10">
        <f t="shared" si="202"/>
        <v>175</v>
      </c>
      <c r="L1373" s="13">
        <f t="shared" si="196"/>
        <v>22.46508192744789</v>
      </c>
      <c r="M1373" s="10">
        <f t="shared" si="197"/>
        <v>-0.39206092969502393</v>
      </c>
      <c r="N1373" s="10">
        <f t="shared" si="203"/>
        <v>127.00641588227042</v>
      </c>
      <c r="P1373" s="13">
        <f t="shared" si="200"/>
        <v>14.234148867561437</v>
      </c>
      <c r="Q1373" s="13">
        <f t="shared" si="201"/>
        <v>8.230933059886453</v>
      </c>
    </row>
    <row r="1374" spans="9:17" ht="12.75">
      <c r="I1374" s="2">
        <f t="shared" si="199"/>
        <v>19770</v>
      </c>
      <c r="J1374" s="13">
        <f t="shared" si="198"/>
        <v>-8.23976976279986</v>
      </c>
      <c r="K1374" s="10">
        <f t="shared" si="202"/>
        <v>175</v>
      </c>
      <c r="L1374" s="13">
        <f t="shared" si="196"/>
        <v>22.473918630361297</v>
      </c>
      <c r="M1374" s="10">
        <f t="shared" si="197"/>
        <v>0.1882043446469659</v>
      </c>
      <c r="N1374" s="10">
        <f t="shared" si="203"/>
        <v>126.98753747150087</v>
      </c>
      <c r="P1374" s="13">
        <f t="shared" si="200"/>
        <v>14.234148867561437</v>
      </c>
      <c r="Q1374" s="13">
        <f t="shared" si="201"/>
        <v>8.23976976279986</v>
      </c>
    </row>
    <row r="1375" spans="9:17" ht="12.75">
      <c r="I1375" s="2">
        <f t="shared" si="199"/>
        <v>19785</v>
      </c>
      <c r="J1375" s="13">
        <f t="shared" si="198"/>
        <v>-8.235527805097131</v>
      </c>
      <c r="K1375" s="10">
        <f t="shared" si="202"/>
        <v>175</v>
      </c>
      <c r="L1375" s="13">
        <f t="shared" si="196"/>
        <v>22.46967667265857</v>
      </c>
      <c r="M1375" s="10">
        <f t="shared" si="197"/>
        <v>0.18396238694423772</v>
      </c>
      <c r="N1375" s="10">
        <f t="shared" si="203"/>
        <v>126.99659983568397</v>
      </c>
      <c r="P1375" s="13">
        <f t="shared" si="200"/>
        <v>14.234148867561437</v>
      </c>
      <c r="Q1375" s="13">
        <f t="shared" si="201"/>
        <v>8.235527805097131</v>
      </c>
    </row>
    <row r="1376" spans="9:17" ht="12.75">
      <c r="I1376" s="2">
        <f t="shared" si="199"/>
        <v>19800</v>
      </c>
      <c r="J1376" s="13">
        <f t="shared" si="198"/>
        <v>-8.231381457329373</v>
      </c>
      <c r="K1376" s="10">
        <f t="shared" si="202"/>
        <v>175</v>
      </c>
      <c r="L1376" s="13">
        <f t="shared" si="196"/>
        <v>22.46553032489081</v>
      </c>
      <c r="M1376" s="10">
        <f t="shared" si="197"/>
        <v>-0.391612532252104</v>
      </c>
      <c r="N1376" s="10">
        <f t="shared" si="203"/>
        <v>127.00545794227872</v>
      </c>
      <c r="P1376" s="13">
        <f t="shared" si="200"/>
        <v>14.234148867561437</v>
      </c>
      <c r="Q1376" s="13">
        <f t="shared" si="201"/>
        <v>8.231381457329373</v>
      </c>
    </row>
    <row r="1377" spans="9:17" ht="12.75">
      <c r="I1377" s="2">
        <f t="shared" si="199"/>
        <v>19815</v>
      </c>
      <c r="J1377" s="13">
        <f t="shared" si="198"/>
        <v>-8.240208053765212</v>
      </c>
      <c r="K1377" s="10">
        <f t="shared" si="202"/>
        <v>175</v>
      </c>
      <c r="L1377" s="13">
        <f t="shared" si="196"/>
        <v>22.47435692132665</v>
      </c>
      <c r="M1377" s="10">
        <f t="shared" si="197"/>
        <v>0.1886426356123181</v>
      </c>
      <c r="N1377" s="10">
        <f t="shared" si="203"/>
        <v>126.98660112262034</v>
      </c>
      <c r="P1377" s="13">
        <f t="shared" si="200"/>
        <v>14.234148867561437</v>
      </c>
      <c r="Q1377" s="13">
        <f t="shared" si="201"/>
        <v>8.240208053765212</v>
      </c>
    </row>
    <row r="1378" spans="9:17" ht="12.75">
      <c r="I1378" s="2">
        <f t="shared" si="199"/>
        <v>19830</v>
      </c>
      <c r="J1378" s="13">
        <f t="shared" si="198"/>
        <v>-8.235956217375897</v>
      </c>
      <c r="K1378" s="10">
        <f t="shared" si="202"/>
        <v>175</v>
      </c>
      <c r="L1378" s="13">
        <f t="shared" si="196"/>
        <v>22.470105084937334</v>
      </c>
      <c r="M1378" s="10">
        <f t="shared" si="197"/>
        <v>0.18439079922300294</v>
      </c>
      <c r="N1378" s="10">
        <f t="shared" si="203"/>
        <v>126.99568459127025</v>
      </c>
      <c r="P1378" s="13">
        <f t="shared" si="200"/>
        <v>14.234148867561437</v>
      </c>
      <c r="Q1378" s="13">
        <f t="shared" si="201"/>
        <v>8.235956217375897</v>
      </c>
    </row>
    <row r="1379" spans="9:17" ht="12.75">
      <c r="I1379" s="2">
        <f t="shared" si="199"/>
        <v>19845</v>
      </c>
      <c r="J1379" s="13">
        <f t="shared" si="198"/>
        <v>-8.231800213578303</v>
      </c>
      <c r="K1379" s="10">
        <f t="shared" si="202"/>
        <v>175</v>
      </c>
      <c r="L1379" s="13">
        <f t="shared" si="196"/>
        <v>22.46594908113974</v>
      </c>
      <c r="M1379" s="10">
        <f t="shared" si="197"/>
        <v>-0.39119377600317407</v>
      </c>
      <c r="N1379" s="10">
        <f t="shared" si="203"/>
        <v>127.00456332665601</v>
      </c>
      <c r="P1379" s="13">
        <f t="shared" si="200"/>
        <v>14.234148867561437</v>
      </c>
      <c r="Q1379" s="13">
        <f t="shared" si="201"/>
        <v>8.231800213578303</v>
      </c>
    </row>
    <row r="1380" spans="9:17" ht="12.75">
      <c r="I1380" s="2">
        <f t="shared" si="199"/>
        <v>19860</v>
      </c>
      <c r="J1380" s="13">
        <f t="shared" si="198"/>
        <v>-8.240617371622598</v>
      </c>
      <c r="K1380" s="10">
        <f t="shared" si="202"/>
        <v>175</v>
      </c>
      <c r="L1380" s="13">
        <f t="shared" si="196"/>
        <v>22.474766239184035</v>
      </c>
      <c r="M1380" s="10">
        <f t="shared" si="197"/>
        <v>0.18905195346970416</v>
      </c>
      <c r="N1380" s="10">
        <f t="shared" si="203"/>
        <v>126.98572667083411</v>
      </c>
      <c r="P1380" s="13">
        <f t="shared" si="200"/>
        <v>14.234148867561437</v>
      </c>
      <c r="Q1380" s="13">
        <f t="shared" si="201"/>
        <v>8.240617371622598</v>
      </c>
    </row>
    <row r="1381" spans="9:17" ht="12.75">
      <c r="I1381" s="2">
        <f t="shared" si="199"/>
        <v>19875</v>
      </c>
      <c r="J1381" s="13">
        <f t="shared" si="198"/>
        <v>-8.236356309574642</v>
      </c>
      <c r="K1381" s="10">
        <f t="shared" si="202"/>
        <v>175</v>
      </c>
      <c r="L1381" s="13">
        <f t="shared" si="196"/>
        <v>22.47050517713608</v>
      </c>
      <c r="M1381" s="10">
        <f t="shared" si="197"/>
        <v>0.18479089142174843</v>
      </c>
      <c r="N1381" s="10">
        <f t="shared" si="203"/>
        <v>126.99482984884565</v>
      </c>
      <c r="P1381" s="13">
        <f t="shared" si="200"/>
        <v>14.234148867561437</v>
      </c>
      <c r="Q1381" s="13">
        <f t="shared" si="201"/>
        <v>8.236356309574642</v>
      </c>
    </row>
    <row r="1382" spans="9:17" ht="12.75">
      <c r="I1382" s="2">
        <f t="shared" si="199"/>
        <v>19890</v>
      </c>
      <c r="J1382" s="13">
        <f t="shared" si="198"/>
        <v>-8.232191288056512</v>
      </c>
      <c r="K1382" s="10">
        <f t="shared" si="202"/>
        <v>175</v>
      </c>
      <c r="L1382" s="13">
        <f t="shared" si="196"/>
        <v>22.46634015561795</v>
      </c>
      <c r="M1382" s="10">
        <f t="shared" si="197"/>
        <v>-0.3908027015249651</v>
      </c>
      <c r="N1382" s="10">
        <f t="shared" si="203"/>
        <v>127.00372784936165</v>
      </c>
      <c r="P1382" s="13">
        <f t="shared" si="200"/>
        <v>14.234148867561437</v>
      </c>
      <c r="Q1382" s="13">
        <f t="shared" si="201"/>
        <v>8.232191288056512</v>
      </c>
    </row>
    <row r="1383" spans="9:17" ht="12.75">
      <c r="I1383" s="2">
        <f t="shared" si="199"/>
        <v>19905</v>
      </c>
      <c r="J1383" s="13">
        <f t="shared" si="198"/>
        <v>-8.240999631631627</v>
      </c>
      <c r="K1383" s="10">
        <f t="shared" si="202"/>
        <v>175</v>
      </c>
      <c r="L1383" s="13">
        <f t="shared" si="196"/>
        <v>22.475148499193065</v>
      </c>
      <c r="M1383" s="10">
        <f t="shared" si="197"/>
        <v>0.18943421347873368</v>
      </c>
      <c r="N1383" s="10">
        <f t="shared" si="203"/>
        <v>126.98491002445118</v>
      </c>
      <c r="P1383" s="13">
        <f t="shared" si="200"/>
        <v>14.234148867561437</v>
      </c>
      <c r="Q1383" s="13">
        <f t="shared" si="201"/>
        <v>8.240999631631627</v>
      </c>
    </row>
    <row r="1384" spans="9:17" ht="12.75">
      <c r="I1384" s="2">
        <f t="shared" si="199"/>
        <v>19920</v>
      </c>
      <c r="J1384" s="13">
        <f t="shared" si="198"/>
        <v>-8.236729953784753</v>
      </c>
      <c r="K1384" s="10">
        <f t="shared" si="202"/>
        <v>175</v>
      </c>
      <c r="L1384" s="13">
        <f t="shared" si="196"/>
        <v>22.47087882134619</v>
      </c>
      <c r="M1384" s="10">
        <f t="shared" si="197"/>
        <v>0.1851645356318592</v>
      </c>
      <c r="N1384" s="10">
        <f t="shared" si="203"/>
        <v>126.99403160894224</v>
      </c>
      <c r="P1384" s="13">
        <f t="shared" si="200"/>
        <v>14.234148867561437</v>
      </c>
      <c r="Q1384" s="13">
        <f t="shared" si="201"/>
        <v>8.236729953784753</v>
      </c>
    </row>
    <row r="1385" spans="9:17" ht="12.75">
      <c r="I1385" s="2">
        <f t="shared" si="199"/>
        <v>19935</v>
      </c>
      <c r="J1385" s="13">
        <f t="shared" si="198"/>
        <v>-8.23255651066011</v>
      </c>
      <c r="K1385" s="10">
        <f t="shared" si="202"/>
        <v>175</v>
      </c>
      <c r="L1385" s="13">
        <f t="shared" si="196"/>
        <v>22.466705378221548</v>
      </c>
      <c r="M1385" s="10">
        <f t="shared" si="197"/>
        <v>-0.39043747892136693</v>
      </c>
      <c r="N1385" s="10">
        <f t="shared" si="203"/>
        <v>127.00294760107215</v>
      </c>
      <c r="P1385" s="13">
        <f t="shared" si="200"/>
        <v>14.234148867561437</v>
      </c>
      <c r="Q1385" s="13">
        <f t="shared" si="201"/>
        <v>8.23255651066011</v>
      </c>
    </row>
    <row r="1386" spans="9:17" ht="12.75">
      <c r="I1386" s="2">
        <f t="shared" si="199"/>
        <v>19950</v>
      </c>
      <c r="J1386" s="13">
        <f t="shared" si="198"/>
        <v>-8.241356622444187</v>
      </c>
      <c r="K1386" s="10">
        <f t="shared" si="202"/>
        <v>175</v>
      </c>
      <c r="L1386" s="13">
        <f t="shared" si="196"/>
        <v>22.475505490005624</v>
      </c>
      <c r="M1386" s="10">
        <f t="shared" si="197"/>
        <v>0.18979120429129281</v>
      </c>
      <c r="N1386" s="10">
        <f t="shared" si="203"/>
        <v>126.98414736226071</v>
      </c>
      <c r="P1386" s="13">
        <f t="shared" si="200"/>
        <v>14.234148867561437</v>
      </c>
      <c r="Q1386" s="13">
        <f t="shared" si="201"/>
        <v>8.241356622444187</v>
      </c>
    </row>
    <row r="1387" spans="9:17" ht="12.75">
      <c r="I1387" s="2">
        <f t="shared" si="199"/>
        <v>19965</v>
      </c>
      <c r="J1387" s="13">
        <f t="shared" si="198"/>
        <v>-8.237078898343487</v>
      </c>
      <c r="K1387" s="10">
        <f t="shared" si="202"/>
        <v>175</v>
      </c>
      <c r="L1387" s="13">
        <f t="shared" si="196"/>
        <v>22.471227765904924</v>
      </c>
      <c r="M1387" s="10">
        <f t="shared" si="197"/>
        <v>0.18551348019059333</v>
      </c>
      <c r="N1387" s="10">
        <f t="shared" si="203"/>
        <v>126.99328613647585</v>
      </c>
      <c r="P1387" s="13">
        <f t="shared" si="200"/>
        <v>14.234148867561437</v>
      </c>
      <c r="Q1387" s="13">
        <f t="shared" si="201"/>
        <v>8.237078898343487</v>
      </c>
    </row>
    <row r="1388" spans="9:17" ht="12.75">
      <c r="I1388" s="2">
        <f t="shared" si="199"/>
        <v>19980</v>
      </c>
      <c r="J1388" s="13">
        <f t="shared" si="198"/>
        <v>-8.232897590320395</v>
      </c>
      <c r="K1388" s="10">
        <f t="shared" si="202"/>
        <v>175</v>
      </c>
      <c r="L1388" s="13">
        <f aca="true" t="shared" si="204" ref="L1388:L1451">(K1388-N1388)/D$12</f>
        <v>22.467046457881832</v>
      </c>
      <c r="M1388" s="10">
        <f t="shared" si="197"/>
        <v>-0.39009639926108264</v>
      </c>
      <c r="N1388" s="10">
        <f t="shared" si="203"/>
        <v>127.00221893088882</v>
      </c>
      <c r="P1388" s="13">
        <f t="shared" si="200"/>
        <v>14.234148867561437</v>
      </c>
      <c r="Q1388" s="13">
        <f t="shared" si="201"/>
        <v>8.232897590320395</v>
      </c>
    </row>
    <row r="1389" spans="9:17" ht="12.75">
      <c r="I1389" s="2">
        <f t="shared" si="199"/>
        <v>19995</v>
      </c>
      <c r="J1389" s="13">
        <f t="shared" si="198"/>
        <v>-8.241690014473804</v>
      </c>
      <c r="K1389" s="10">
        <f t="shared" si="202"/>
        <v>175</v>
      </c>
      <c r="L1389" s="13">
        <f t="shared" si="204"/>
        <v>22.47583888203524</v>
      </c>
      <c r="M1389" s="10">
        <f t="shared" si="197"/>
        <v>0.19012459632090994</v>
      </c>
      <c r="N1389" s="10">
        <f t="shared" si="203"/>
        <v>126.98343511565199</v>
      </c>
      <c r="P1389" s="13">
        <f t="shared" si="200"/>
        <v>14.234148867561437</v>
      </c>
      <c r="Q1389" s="13">
        <f t="shared" si="201"/>
        <v>8.241690014473804</v>
      </c>
    </row>
    <row r="1390" spans="9:17" ht="12.75">
      <c r="I1390" s="2">
        <f t="shared" si="199"/>
        <v>20010</v>
      </c>
      <c r="J1390" s="13">
        <f t="shared" si="198"/>
        <v>-8.23740477601476</v>
      </c>
      <c r="K1390" s="10">
        <f t="shared" si="202"/>
        <v>175</v>
      </c>
      <c r="L1390" s="13">
        <f t="shared" si="204"/>
        <v>22.471553643576197</v>
      </c>
      <c r="M1390" s="10">
        <f aca="true" t="shared" si="205" ref="M1390:M1453">L1390-VLOOKUP(N1390,A$44:C$251,2,TRUE)</f>
        <v>0.185839357861866</v>
      </c>
      <c r="N1390" s="10">
        <f t="shared" si="203"/>
        <v>126.99258994326904</v>
      </c>
      <c r="P1390" s="13">
        <f t="shared" si="200"/>
        <v>14.234148867561437</v>
      </c>
      <c r="Q1390" s="13">
        <f t="shared" si="201"/>
        <v>8.23740477601476</v>
      </c>
    </row>
    <row r="1391" spans="9:17" ht="12.75">
      <c r="I1391" s="2">
        <f t="shared" si="199"/>
        <v>20025</v>
      </c>
      <c r="J1391" s="13">
        <f t="shared" si="198"/>
        <v>-8.233216123000236</v>
      </c>
      <c r="K1391" s="10">
        <f t="shared" si="202"/>
        <v>175</v>
      </c>
      <c r="L1391" s="13">
        <f t="shared" si="204"/>
        <v>22.467364990561673</v>
      </c>
      <c r="M1391" s="10">
        <f t="shared" si="205"/>
        <v>-0.38977786658124103</v>
      </c>
      <c r="N1391" s="10">
        <f t="shared" si="203"/>
        <v>127.00153842925461</v>
      </c>
      <c r="P1391" s="13">
        <f t="shared" si="200"/>
        <v>14.234148867561437</v>
      </c>
      <c r="Q1391" s="13">
        <f t="shared" si="201"/>
        <v>8.233216123000236</v>
      </c>
    </row>
    <row r="1392" spans="9:17" ht="12.75">
      <c r="I1392" s="2">
        <f t="shared" si="199"/>
        <v>20040</v>
      </c>
      <c r="J1392" s="13">
        <f t="shared" si="198"/>
        <v>-8.242001367711762</v>
      </c>
      <c r="K1392" s="10">
        <f t="shared" si="202"/>
        <v>175</v>
      </c>
      <c r="L1392" s="13">
        <f t="shared" si="204"/>
        <v>22.4761502352732</v>
      </c>
      <c r="M1392" s="10">
        <f t="shared" si="205"/>
        <v>0.1904359495588679</v>
      </c>
      <c r="N1392" s="10">
        <f t="shared" si="203"/>
        <v>126.98276995191635</v>
      </c>
      <c r="P1392" s="13">
        <f t="shared" si="200"/>
        <v>14.234148867561437</v>
      </c>
      <c r="Q1392" s="13">
        <f t="shared" si="201"/>
        <v>8.242001367711762</v>
      </c>
    </row>
    <row r="1393" spans="9:17" ht="12.75">
      <c r="I1393" s="2">
        <f t="shared" si="199"/>
        <v>20055</v>
      </c>
      <c r="J1393" s="13">
        <f t="shared" si="198"/>
        <v>-8.237709111629034</v>
      </c>
      <c r="K1393" s="10">
        <f t="shared" si="202"/>
        <v>175</v>
      </c>
      <c r="L1393" s="13">
        <f t="shared" si="204"/>
        <v>22.47185797919047</v>
      </c>
      <c r="M1393" s="10">
        <f t="shared" si="205"/>
        <v>0.18614369347614002</v>
      </c>
      <c r="N1393" s="10">
        <f t="shared" si="203"/>
        <v>126.99193977172945</v>
      </c>
      <c r="P1393" s="13">
        <f t="shared" si="200"/>
        <v>14.234148867561437</v>
      </c>
      <c r="Q1393" s="13">
        <f t="shared" si="201"/>
        <v>8.237709111629034</v>
      </c>
    </row>
    <row r="1394" spans="9:17" ht="12.75">
      <c r="I1394" s="2">
        <f t="shared" si="199"/>
        <v>20070</v>
      </c>
      <c r="J1394" s="13">
        <f t="shared" si="198"/>
        <v>-8.233513599161796</v>
      </c>
      <c r="K1394" s="10">
        <f t="shared" si="202"/>
        <v>175</v>
      </c>
      <c r="L1394" s="13">
        <f t="shared" si="204"/>
        <v>22.467662466723233</v>
      </c>
      <c r="M1394" s="10">
        <f t="shared" si="205"/>
        <v>-0.3894803904196813</v>
      </c>
      <c r="N1394" s="10">
        <f t="shared" si="203"/>
        <v>127.00090291200037</v>
      </c>
      <c r="P1394" s="13">
        <f t="shared" si="200"/>
        <v>14.234148867561437</v>
      </c>
      <c r="Q1394" s="13">
        <f t="shared" si="201"/>
        <v>8.233513599161796</v>
      </c>
    </row>
    <row r="1395" spans="9:17" ht="12.75">
      <c r="I1395" s="2">
        <f t="shared" si="199"/>
        <v>20085</v>
      </c>
      <c r="J1395" s="13">
        <f t="shared" si="198"/>
        <v>-8.242292139026535</v>
      </c>
      <c r="K1395" s="10">
        <f t="shared" si="202"/>
        <v>175</v>
      </c>
      <c r="L1395" s="13">
        <f t="shared" si="204"/>
        <v>22.476441006587972</v>
      </c>
      <c r="M1395" s="10">
        <f t="shared" si="205"/>
        <v>0.1907267208736414</v>
      </c>
      <c r="N1395" s="10">
        <f t="shared" si="203"/>
        <v>126.98214875865297</v>
      </c>
      <c r="P1395" s="13">
        <f t="shared" si="200"/>
        <v>14.234148867561437</v>
      </c>
      <c r="Q1395" s="13">
        <f t="shared" si="201"/>
        <v>8.242292139026535</v>
      </c>
    </row>
    <row r="1396" spans="9:17" ht="12.75">
      <c r="I1396" s="2">
        <f t="shared" si="199"/>
        <v>20100</v>
      </c>
      <c r="J1396" s="13">
        <f t="shared" si="198"/>
        <v>-8.237993329218277</v>
      </c>
      <c r="K1396" s="10">
        <f t="shared" si="202"/>
        <v>175</v>
      </c>
      <c r="L1396" s="13">
        <f t="shared" si="204"/>
        <v>22.472142196779714</v>
      </c>
      <c r="M1396" s="10">
        <f t="shared" si="205"/>
        <v>0.18642791106538326</v>
      </c>
      <c r="N1396" s="10">
        <f t="shared" si="203"/>
        <v>126.99133257960698</v>
      </c>
      <c r="P1396" s="13">
        <f t="shared" si="200"/>
        <v>14.234148867561437</v>
      </c>
      <c r="Q1396" s="13">
        <f t="shared" si="201"/>
        <v>8.237993329218277</v>
      </c>
    </row>
    <row r="1397" spans="9:17" ht="12.75">
      <c r="I1397" s="2">
        <f t="shared" si="199"/>
        <v>20115</v>
      </c>
      <c r="J1397" s="13">
        <f t="shared" si="198"/>
        <v>-8.23379141074063</v>
      </c>
      <c r="K1397" s="10">
        <f t="shared" si="202"/>
        <v>175</v>
      </c>
      <c r="L1397" s="13">
        <f t="shared" si="204"/>
        <v>22.467940278302066</v>
      </c>
      <c r="M1397" s="10">
        <f t="shared" si="205"/>
        <v>-0.3892025788408482</v>
      </c>
      <c r="N1397" s="10">
        <f t="shared" si="203"/>
        <v>127.00030940544559</v>
      </c>
      <c r="P1397" s="13">
        <f t="shared" si="200"/>
        <v>14.234148867561437</v>
      </c>
      <c r="Q1397" s="13">
        <f t="shared" si="201"/>
        <v>8.23379141074063</v>
      </c>
    </row>
    <row r="1398" spans="9:17" ht="12.75">
      <c r="I1398" s="2">
        <f t="shared" si="199"/>
        <v>20130</v>
      </c>
      <c r="J1398" s="13">
        <f t="shared" si="198"/>
        <v>-8.242563688980706</v>
      </c>
      <c r="K1398" s="10">
        <f t="shared" si="202"/>
        <v>175</v>
      </c>
      <c r="L1398" s="13">
        <f t="shared" si="204"/>
        <v>22.476712556542143</v>
      </c>
      <c r="M1398" s="10">
        <f t="shared" si="205"/>
        <v>0.19099827082781218</v>
      </c>
      <c r="N1398" s="10">
        <f t="shared" si="203"/>
        <v>126.98156862920543</v>
      </c>
      <c r="P1398" s="13">
        <f t="shared" si="200"/>
        <v>14.234148867561437</v>
      </c>
      <c r="Q1398" s="13">
        <f t="shared" si="201"/>
        <v>8.242563688980706</v>
      </c>
    </row>
    <row r="1399" spans="9:17" ht="12.75">
      <c r="I1399" s="2">
        <f t="shared" si="199"/>
        <v>20145</v>
      </c>
      <c r="J1399" s="13">
        <f t="shared" si="198"/>
        <v>-8.238258758679205</v>
      </c>
      <c r="K1399" s="10">
        <f t="shared" si="202"/>
        <v>175</v>
      </c>
      <c r="L1399" s="13">
        <f t="shared" si="204"/>
        <v>22.472407626240642</v>
      </c>
      <c r="M1399" s="10">
        <f t="shared" si="205"/>
        <v>0.18669334052631115</v>
      </c>
      <c r="N1399" s="10">
        <f t="shared" si="203"/>
        <v>126.99076552575863</v>
      </c>
      <c r="P1399" s="13">
        <f t="shared" si="200"/>
        <v>14.234148867561437</v>
      </c>
      <c r="Q1399" s="13">
        <f t="shared" si="201"/>
        <v>8.238258758679205</v>
      </c>
    </row>
    <row r="1400" spans="9:17" ht="12.75">
      <c r="I1400" s="2">
        <f t="shared" si="199"/>
        <v>20160</v>
      </c>
      <c r="J1400" s="13">
        <f aca="true" t="shared" si="206" ref="J1400:J1463">(D$7-K1400)*(1/D$13+1/D$14)+D$16*(D$19*D$21*D$17+D$20*D$22*D$18)*(D$7^4-K1400^4)-(K1400-N1400)/D$12</f>
        <v>-8.234050857658755</v>
      </c>
      <c r="K1400" s="10">
        <f t="shared" si="202"/>
        <v>175</v>
      </c>
      <c r="L1400" s="13">
        <f t="shared" si="204"/>
        <v>22.46819972522019</v>
      </c>
      <c r="M1400" s="10">
        <f t="shared" si="205"/>
        <v>0.18248543950586082</v>
      </c>
      <c r="N1400" s="10">
        <f t="shared" si="203"/>
        <v>126.99975513248414</v>
      </c>
      <c r="P1400" s="13">
        <f t="shared" si="200"/>
        <v>14.234148867561437</v>
      </c>
      <c r="Q1400" s="13">
        <f t="shared" si="201"/>
        <v>8.234050857658755</v>
      </c>
    </row>
    <row r="1401" spans="9:17" ht="12.75">
      <c r="I1401" s="2">
        <f aca="true" t="shared" si="207" ref="I1401:I1464">I1400+I$41</f>
        <v>20175</v>
      </c>
      <c r="J1401" s="13">
        <f t="shared" si="206"/>
        <v>-8.229937798966088</v>
      </c>
      <c r="K1401" s="10">
        <f t="shared" si="202"/>
        <v>175</v>
      </c>
      <c r="L1401" s="13">
        <f t="shared" si="204"/>
        <v>22.464086666527525</v>
      </c>
      <c r="M1401" s="10">
        <f t="shared" si="205"/>
        <v>-0.39305619061538977</v>
      </c>
      <c r="N1401" s="10">
        <f t="shared" si="203"/>
        <v>127.00854212150938</v>
      </c>
      <c r="P1401" s="13">
        <f aca="true" t="shared" si="208" ref="P1401:P1464">(D$7-K1401)*(1/D$13+1/D$14)+D$16*(D$19*D$21*D$17+D$20*D$22*D$18)*(D$7^4-K1401^4)</f>
        <v>14.234148867561437</v>
      </c>
      <c r="Q1401" s="13">
        <f aca="true" t="shared" si="209" ref="Q1401:Q1464">IF(K1401=D$8,-J1401,0)</f>
        <v>8.229937798966088</v>
      </c>
    </row>
    <row r="1402" spans="9:17" ht="12.75">
      <c r="I1402" s="2">
        <f t="shared" si="207"/>
        <v>20190</v>
      </c>
      <c r="J1402" s="13">
        <f t="shared" si="206"/>
        <v>-8.238796934171031</v>
      </c>
      <c r="K1402" s="10">
        <f t="shared" si="202"/>
        <v>175</v>
      </c>
      <c r="L1402" s="13">
        <f t="shared" si="204"/>
        <v>22.472945801732468</v>
      </c>
      <c r="M1402" s="10">
        <f t="shared" si="205"/>
        <v>0.18723151601813726</v>
      </c>
      <c r="N1402" s="10">
        <f t="shared" si="203"/>
        <v>126.98961578720791</v>
      </c>
      <c r="P1402" s="13">
        <f t="shared" si="208"/>
        <v>14.234148867561437</v>
      </c>
      <c r="Q1402" s="13">
        <f t="shared" si="209"/>
        <v>8.238796934171031</v>
      </c>
    </row>
    <row r="1403" spans="9:17" ht="12.75">
      <c r="I1403" s="2">
        <f t="shared" si="207"/>
        <v>20205</v>
      </c>
      <c r="J1403" s="13">
        <f t="shared" si="206"/>
        <v>-8.234576903156043</v>
      </c>
      <c r="K1403" s="10">
        <f t="shared" si="202"/>
        <v>175</v>
      </c>
      <c r="L1403" s="13">
        <f t="shared" si="204"/>
        <v>22.46872577071748</v>
      </c>
      <c r="M1403" s="10">
        <f t="shared" si="205"/>
        <v>0.18301148500314923</v>
      </c>
      <c r="N1403" s="10">
        <f t="shared" si="203"/>
        <v>126.99863130801266</v>
      </c>
      <c r="P1403" s="13">
        <f t="shared" si="208"/>
        <v>14.234148867561437</v>
      </c>
      <c r="Q1403" s="13">
        <f t="shared" si="209"/>
        <v>8.234576903156043</v>
      </c>
    </row>
    <row r="1404" spans="9:17" ht="12.75">
      <c r="I1404" s="2">
        <f t="shared" si="207"/>
        <v>20220</v>
      </c>
      <c r="J1404" s="13">
        <f t="shared" si="206"/>
        <v>-8.230451987868072</v>
      </c>
      <c r="K1404" s="10">
        <f t="shared" si="202"/>
        <v>175</v>
      </c>
      <c r="L1404" s="13">
        <f t="shared" si="204"/>
        <v>22.46460085542951</v>
      </c>
      <c r="M1404" s="10">
        <f t="shared" si="205"/>
        <v>-0.39254200171340514</v>
      </c>
      <c r="N1404" s="10">
        <f t="shared" si="203"/>
        <v>127.00744362703696</v>
      </c>
      <c r="P1404" s="13">
        <f t="shared" si="208"/>
        <v>14.234148867561437</v>
      </c>
      <c r="Q1404" s="13">
        <f t="shared" si="209"/>
        <v>8.230451987868072</v>
      </c>
    </row>
    <row r="1405" spans="9:17" ht="12.75">
      <c r="I1405" s="2">
        <f t="shared" si="207"/>
        <v>20235</v>
      </c>
      <c r="J1405" s="13">
        <f t="shared" si="206"/>
        <v>-8.239299533714764</v>
      </c>
      <c r="K1405" s="10">
        <f t="shared" si="202"/>
        <v>175</v>
      </c>
      <c r="L1405" s="13">
        <f t="shared" si="204"/>
        <v>22.4734484012762</v>
      </c>
      <c r="M1405" s="10">
        <f t="shared" si="205"/>
        <v>0.18773411556187014</v>
      </c>
      <c r="N1405" s="10">
        <f t="shared" si="203"/>
        <v>126.98854205181902</v>
      </c>
      <c r="P1405" s="13">
        <f t="shared" si="208"/>
        <v>14.234148867561437</v>
      </c>
      <c r="Q1405" s="13">
        <f t="shared" si="209"/>
        <v>8.239299533714764</v>
      </c>
    </row>
    <row r="1406" spans="9:17" ht="12.75">
      <c r="I1406" s="2">
        <f t="shared" si="207"/>
        <v>20250</v>
      </c>
      <c r="J1406" s="13">
        <f t="shared" si="206"/>
        <v>-8.235068174555305</v>
      </c>
      <c r="K1406" s="10">
        <f t="shared" si="202"/>
        <v>175</v>
      </c>
      <c r="L1406" s="13">
        <f t="shared" si="204"/>
        <v>22.469217042116743</v>
      </c>
      <c r="M1406" s="10">
        <f t="shared" si="205"/>
        <v>0.18350275640241165</v>
      </c>
      <c r="N1406" s="10">
        <f t="shared" si="203"/>
        <v>126.99758177365969</v>
      </c>
      <c r="P1406" s="13">
        <f t="shared" si="208"/>
        <v>14.234148867561437</v>
      </c>
      <c r="Q1406" s="13">
        <f t="shared" si="209"/>
        <v>8.235068174555305</v>
      </c>
    </row>
    <row r="1407" spans="9:17" ht="12.75">
      <c r="I1407" s="2">
        <f t="shared" si="207"/>
        <v>20265</v>
      </c>
      <c r="J1407" s="13">
        <f t="shared" si="206"/>
        <v>-8.23093218644912</v>
      </c>
      <c r="K1407" s="10">
        <f t="shared" si="202"/>
        <v>175</v>
      </c>
      <c r="L1407" s="13">
        <f t="shared" si="204"/>
        <v>22.465081054010557</v>
      </c>
      <c r="M1407" s="10">
        <f t="shared" si="205"/>
        <v>-0.39206180313235706</v>
      </c>
      <c r="N1407" s="10">
        <f t="shared" si="203"/>
        <v>127.00641774825017</v>
      </c>
      <c r="P1407" s="13">
        <f t="shared" si="208"/>
        <v>14.234148867561437</v>
      </c>
      <c r="Q1407" s="13">
        <f t="shared" si="209"/>
        <v>8.23093218644912</v>
      </c>
    </row>
    <row r="1408" spans="9:17" ht="12.75">
      <c r="I1408" s="2">
        <f t="shared" si="207"/>
        <v>20280</v>
      </c>
      <c r="J1408" s="13">
        <f t="shared" si="206"/>
        <v>-8.239768909049026</v>
      </c>
      <c r="K1408" s="10">
        <f t="shared" si="202"/>
        <v>175</v>
      </c>
      <c r="L1408" s="13">
        <f t="shared" si="204"/>
        <v>22.473917776610463</v>
      </c>
      <c r="M1408" s="10">
        <f t="shared" si="205"/>
        <v>0.1882034908961323</v>
      </c>
      <c r="N1408" s="10">
        <f t="shared" si="203"/>
        <v>126.9875392954231</v>
      </c>
      <c r="P1408" s="13">
        <f t="shared" si="208"/>
        <v>14.234148867561437</v>
      </c>
      <c r="Q1408" s="13">
        <f t="shared" si="209"/>
        <v>8.239768909049026</v>
      </c>
    </row>
    <row r="1409" spans="9:17" ht="12.75">
      <c r="I1409" s="2">
        <f t="shared" si="207"/>
        <v>20295</v>
      </c>
      <c r="J1409" s="13">
        <f t="shared" si="206"/>
        <v>-8.235526970589078</v>
      </c>
      <c r="K1409" s="10">
        <f t="shared" si="202"/>
        <v>175</v>
      </c>
      <c r="L1409" s="13">
        <f t="shared" si="204"/>
        <v>22.469675838150515</v>
      </c>
      <c r="M1409" s="10">
        <f t="shared" si="205"/>
        <v>0.18396155243618395</v>
      </c>
      <c r="N1409" s="10">
        <f t="shared" si="203"/>
        <v>126.99660161849663</v>
      </c>
      <c r="P1409" s="13">
        <f t="shared" si="208"/>
        <v>14.234148867561437</v>
      </c>
      <c r="Q1409" s="13">
        <f t="shared" si="209"/>
        <v>8.235526970589078</v>
      </c>
    </row>
    <row r="1410" spans="9:17" ht="12.75">
      <c r="I1410" s="2">
        <f t="shared" si="207"/>
        <v>20310</v>
      </c>
      <c r="J1410" s="13">
        <f t="shared" si="206"/>
        <v>-8.231380641630384</v>
      </c>
      <c r="K1410" s="10">
        <f t="shared" si="202"/>
        <v>175</v>
      </c>
      <c r="L1410" s="13">
        <f t="shared" si="204"/>
        <v>22.46552950919182</v>
      </c>
      <c r="M1410" s="10">
        <f t="shared" si="205"/>
        <v>-0.39161334795109326</v>
      </c>
      <c r="N1410" s="10">
        <f t="shared" si="203"/>
        <v>127.00545968490839</v>
      </c>
      <c r="P1410" s="13">
        <f t="shared" si="208"/>
        <v>14.234148867561437</v>
      </c>
      <c r="Q1410" s="13">
        <f t="shared" si="209"/>
        <v>8.231380641630384</v>
      </c>
    </row>
    <row r="1411" spans="9:17" ht="12.75">
      <c r="I1411" s="2">
        <f t="shared" si="207"/>
        <v>20325</v>
      </c>
      <c r="J1411" s="13">
        <f t="shared" si="206"/>
        <v>-8.240207256451345</v>
      </c>
      <c r="K1411" s="10">
        <f t="shared" si="202"/>
        <v>175</v>
      </c>
      <c r="L1411" s="13">
        <f t="shared" si="204"/>
        <v>22.474356124012782</v>
      </c>
      <c r="M1411" s="10">
        <f t="shared" si="205"/>
        <v>0.1886418382984516</v>
      </c>
      <c r="N1411" s="10">
        <f t="shared" si="203"/>
        <v>126.9866028259727</v>
      </c>
      <c r="P1411" s="13">
        <f t="shared" si="208"/>
        <v>14.234148867561437</v>
      </c>
      <c r="Q1411" s="13">
        <f t="shared" si="209"/>
        <v>8.240207256451345</v>
      </c>
    </row>
    <row r="1412" spans="9:17" ht="12.75">
      <c r="I1412" s="2">
        <f t="shared" si="207"/>
        <v>20340</v>
      </c>
      <c r="J1412" s="13">
        <f t="shared" si="206"/>
        <v>-8.235955438032764</v>
      </c>
      <c r="K1412" s="10">
        <f t="shared" si="202"/>
        <v>175</v>
      </c>
      <c r="L1412" s="13">
        <f t="shared" si="204"/>
        <v>22.4701043055942</v>
      </c>
      <c r="M1412" s="10">
        <f t="shared" si="205"/>
        <v>0.1843900198798707</v>
      </c>
      <c r="N1412" s="10">
        <f t="shared" si="203"/>
        <v>126.99568625623057</v>
      </c>
      <c r="P1412" s="13">
        <f t="shared" si="208"/>
        <v>14.234148867561437</v>
      </c>
      <c r="Q1412" s="13">
        <f t="shared" si="209"/>
        <v>8.235955438032764</v>
      </c>
    </row>
    <row r="1413" spans="9:17" ht="12.75">
      <c r="I1413" s="2">
        <f t="shared" si="207"/>
        <v>20355</v>
      </c>
      <c r="J1413" s="13">
        <f t="shared" si="206"/>
        <v>-8.231799451800871</v>
      </c>
      <c r="K1413" s="10">
        <f t="shared" si="202"/>
        <v>175</v>
      </c>
      <c r="L1413" s="13">
        <f t="shared" si="204"/>
        <v>22.465948319362308</v>
      </c>
      <c r="M1413" s="10">
        <f t="shared" si="205"/>
        <v>-0.3911945377806063</v>
      </c>
      <c r="N1413" s="10">
        <f t="shared" si="203"/>
        <v>127.00456495408962</v>
      </c>
      <c r="P1413" s="13">
        <f t="shared" si="208"/>
        <v>14.234148867561437</v>
      </c>
      <c r="Q1413" s="13">
        <f t="shared" si="209"/>
        <v>8.231799451800871</v>
      </c>
    </row>
    <row r="1414" spans="9:17" ht="12.75">
      <c r="I1414" s="2">
        <f t="shared" si="207"/>
        <v>20370</v>
      </c>
      <c r="J1414" s="13">
        <f t="shared" si="206"/>
        <v>-8.24061662701494</v>
      </c>
      <c r="K1414" s="10">
        <f t="shared" si="202"/>
        <v>175</v>
      </c>
      <c r="L1414" s="13">
        <f t="shared" si="204"/>
        <v>22.474765494576378</v>
      </c>
      <c r="M1414" s="10">
        <f t="shared" si="205"/>
        <v>0.18905120886204685</v>
      </c>
      <c r="N1414" s="10">
        <f t="shared" si="203"/>
        <v>126.98572826158683</v>
      </c>
      <c r="P1414" s="13">
        <f t="shared" si="208"/>
        <v>14.234148867561437</v>
      </c>
      <c r="Q1414" s="13">
        <f t="shared" si="209"/>
        <v>8.24061662701494</v>
      </c>
    </row>
    <row r="1415" spans="9:17" ht="12.75">
      <c r="I1415" s="2">
        <f t="shared" si="207"/>
        <v>20385</v>
      </c>
      <c r="J1415" s="13">
        <f t="shared" si="206"/>
        <v>-8.236355581749777</v>
      </c>
      <c r="K1415" s="10">
        <f t="shared" si="202"/>
        <v>175</v>
      </c>
      <c r="L1415" s="13">
        <f t="shared" si="204"/>
        <v>22.470504449311214</v>
      </c>
      <c r="M1415" s="10">
        <f t="shared" si="205"/>
        <v>0.18479016359688316</v>
      </c>
      <c r="N1415" s="10">
        <f t="shared" si="203"/>
        <v>126.99483140374423</v>
      </c>
      <c r="P1415" s="13">
        <f t="shared" si="208"/>
        <v>14.234148867561437</v>
      </c>
      <c r="Q1415" s="13">
        <f t="shared" si="209"/>
        <v>8.236355581749777</v>
      </c>
    </row>
    <row r="1416" spans="9:17" ht="12.75">
      <c r="I1416" s="2">
        <f t="shared" si="207"/>
        <v>20400</v>
      </c>
      <c r="J1416" s="13">
        <f t="shared" si="206"/>
        <v>-8.232190576636174</v>
      </c>
      <c r="K1416" s="10">
        <f t="shared" si="202"/>
        <v>175</v>
      </c>
      <c r="L1416" s="13">
        <f t="shared" si="204"/>
        <v>22.46633944419761</v>
      </c>
      <c r="M1416" s="10">
        <f t="shared" si="205"/>
        <v>-0.39080341294530285</v>
      </c>
      <c r="N1416" s="10">
        <f t="shared" si="203"/>
        <v>127.0037293692142</v>
      </c>
      <c r="P1416" s="13">
        <f t="shared" si="208"/>
        <v>14.234148867561437</v>
      </c>
      <c r="Q1416" s="13">
        <f t="shared" si="209"/>
        <v>8.232190576636174</v>
      </c>
    </row>
    <row r="1417" spans="9:17" ht="12.75">
      <c r="I1417" s="2">
        <f t="shared" si="207"/>
        <v>20415</v>
      </c>
      <c r="J1417" s="13">
        <f t="shared" si="206"/>
        <v>-8.240998936246065</v>
      </c>
      <c r="K1417" s="10">
        <f t="shared" si="202"/>
        <v>175</v>
      </c>
      <c r="L1417" s="13">
        <f t="shared" si="204"/>
        <v>22.475147803807502</v>
      </c>
      <c r="M1417" s="10">
        <f t="shared" si="205"/>
        <v>0.18943351809317122</v>
      </c>
      <c r="N1417" s="10">
        <f t="shared" si="203"/>
        <v>126.98491151004761</v>
      </c>
      <c r="P1417" s="13">
        <f t="shared" si="208"/>
        <v>14.234148867561437</v>
      </c>
      <c r="Q1417" s="13">
        <f t="shared" si="209"/>
        <v>8.240998936246065</v>
      </c>
    </row>
    <row r="1418" spans="9:17" ht="12.75">
      <c r="I1418" s="2">
        <f t="shared" si="207"/>
        <v>20430</v>
      </c>
      <c r="J1418" s="13">
        <f t="shared" si="206"/>
        <v>-8.236729274072559</v>
      </c>
      <c r="K1418" s="10">
        <f t="shared" si="202"/>
        <v>175</v>
      </c>
      <c r="L1418" s="13">
        <f t="shared" si="204"/>
        <v>22.470878141633996</v>
      </c>
      <c r="M1418" s="10">
        <f t="shared" si="205"/>
        <v>0.1851638559196651</v>
      </c>
      <c r="N1418" s="10">
        <f t="shared" si="203"/>
        <v>126.99403306105465</v>
      </c>
      <c r="P1418" s="13">
        <f t="shared" si="208"/>
        <v>14.234148867561437</v>
      </c>
      <c r="Q1418" s="13">
        <f t="shared" si="209"/>
        <v>8.236729274072559</v>
      </c>
    </row>
    <row r="1419" spans="9:17" ht="12.75">
      <c r="I1419" s="2">
        <f t="shared" si="207"/>
        <v>20445</v>
      </c>
      <c r="J1419" s="13">
        <f t="shared" si="206"/>
        <v>-8.232555846268017</v>
      </c>
      <c r="K1419" s="10">
        <f t="shared" si="202"/>
        <v>175</v>
      </c>
      <c r="L1419" s="13">
        <f t="shared" si="204"/>
        <v>22.466704713829454</v>
      </c>
      <c r="M1419" s="10">
        <f t="shared" si="205"/>
        <v>-0.3904381433134603</v>
      </c>
      <c r="N1419" s="10">
        <f t="shared" si="203"/>
        <v>127.00294902045526</v>
      </c>
      <c r="P1419" s="13">
        <f t="shared" si="208"/>
        <v>14.234148867561437</v>
      </c>
      <c r="Q1419" s="13">
        <f t="shared" si="209"/>
        <v>8.232555846268017</v>
      </c>
    </row>
    <row r="1420" spans="9:17" ht="12.75">
      <c r="I1420" s="2">
        <f t="shared" si="207"/>
        <v>20460</v>
      </c>
      <c r="J1420" s="13">
        <f t="shared" si="206"/>
        <v>-8.241355973026899</v>
      </c>
      <c r="K1420" s="10">
        <f t="shared" si="202"/>
        <v>175</v>
      </c>
      <c r="L1420" s="13">
        <f t="shared" si="204"/>
        <v>22.475504840588336</v>
      </c>
      <c r="M1420" s="10">
        <f t="shared" si="205"/>
        <v>0.18979055487400487</v>
      </c>
      <c r="N1420" s="10">
        <f t="shared" si="203"/>
        <v>126.98414874965219</v>
      </c>
      <c r="P1420" s="13">
        <f t="shared" si="208"/>
        <v>14.234148867561437</v>
      </c>
      <c r="Q1420" s="13">
        <f t="shared" si="209"/>
        <v>8.241355973026899</v>
      </c>
    </row>
    <row r="1421" spans="9:17" ht="12.75">
      <c r="I1421" s="2">
        <f t="shared" si="207"/>
        <v>20475</v>
      </c>
      <c r="J1421" s="13">
        <f t="shared" si="206"/>
        <v>-8.237078263563482</v>
      </c>
      <c r="K1421" s="10">
        <f t="shared" si="202"/>
        <v>175</v>
      </c>
      <c r="L1421" s="13">
        <f t="shared" si="204"/>
        <v>22.47122713112492</v>
      </c>
      <c r="M1421" s="10">
        <f t="shared" si="205"/>
        <v>0.18551284541058877</v>
      </c>
      <c r="N1421" s="10">
        <f t="shared" si="203"/>
        <v>126.99328749259676</v>
      </c>
      <c r="P1421" s="13">
        <f t="shared" si="208"/>
        <v>14.234148867561437</v>
      </c>
      <c r="Q1421" s="13">
        <f t="shared" si="209"/>
        <v>8.237078263563482</v>
      </c>
    </row>
    <row r="1422" spans="9:17" ht="12.75">
      <c r="I1422" s="2">
        <f t="shared" si="207"/>
        <v>20490</v>
      </c>
      <c r="J1422" s="13">
        <f t="shared" si="206"/>
        <v>-8.232896969847761</v>
      </c>
      <c r="K1422" s="10">
        <f t="shared" si="202"/>
        <v>175</v>
      </c>
      <c r="L1422" s="13">
        <f t="shared" si="204"/>
        <v>22.4670458374092</v>
      </c>
      <c r="M1422" s="10">
        <f t="shared" si="205"/>
        <v>-0.3900970197337159</v>
      </c>
      <c r="N1422" s="10">
        <f t="shared" si="203"/>
        <v>127.00222025644399</v>
      </c>
      <c r="P1422" s="13">
        <f t="shared" si="208"/>
        <v>14.234148867561437</v>
      </c>
      <c r="Q1422" s="13">
        <f t="shared" si="209"/>
        <v>8.232896969847761</v>
      </c>
    </row>
    <row r="1423" spans="9:17" ht="12.75">
      <c r="I1423" s="2">
        <f t="shared" si="207"/>
        <v>20505</v>
      </c>
      <c r="J1423" s="13">
        <f t="shared" si="206"/>
        <v>-8.241689407986069</v>
      </c>
      <c r="K1423" s="10">
        <f aca="true" t="shared" si="210" ref="K1423:K1486">MAX(D$8,K1422+J1422*I$41/VLOOKUP(K1422,E$44:G$251,3,TRUE))</f>
        <v>175</v>
      </c>
      <c r="L1423" s="13">
        <f t="shared" si="204"/>
        <v>22.475838275547506</v>
      </c>
      <c r="M1423" s="10">
        <f t="shared" si="205"/>
        <v>0.19012398983317524</v>
      </c>
      <c r="N1423" s="10">
        <f aca="true" t="shared" si="211" ref="N1423:N1486">N1422+M1422*I$41/VLOOKUP(N1422,A$44:C$251,3,TRUE)</f>
        <v>126.98343641133033</v>
      </c>
      <c r="P1423" s="13">
        <f t="shared" si="208"/>
        <v>14.234148867561437</v>
      </c>
      <c r="Q1423" s="13">
        <f t="shared" si="209"/>
        <v>8.241689407986069</v>
      </c>
    </row>
    <row r="1424" spans="9:17" ht="12.75">
      <c r="I1424" s="2">
        <f t="shared" si="207"/>
        <v>20520</v>
      </c>
      <c r="J1424" s="13">
        <f t="shared" si="206"/>
        <v>-8.237404183196716</v>
      </c>
      <c r="K1424" s="10">
        <f t="shared" si="210"/>
        <v>175</v>
      </c>
      <c r="L1424" s="13">
        <f t="shared" si="204"/>
        <v>22.471553050758153</v>
      </c>
      <c r="M1424" s="10">
        <f t="shared" si="205"/>
        <v>0.18583876504382246</v>
      </c>
      <c r="N1424" s="10">
        <f t="shared" si="211"/>
        <v>126.99259120974395</v>
      </c>
      <c r="P1424" s="13">
        <f t="shared" si="208"/>
        <v>14.234148867561437</v>
      </c>
      <c r="Q1424" s="13">
        <f t="shared" si="209"/>
        <v>8.237404183196716</v>
      </c>
    </row>
    <row r="1425" spans="9:17" ht="12.75">
      <c r="I1425" s="2">
        <f t="shared" si="207"/>
        <v>20535</v>
      </c>
      <c r="J1425" s="13">
        <f t="shared" si="206"/>
        <v>-8.233215543543785</v>
      </c>
      <c r="K1425" s="10">
        <f t="shared" si="210"/>
        <v>175</v>
      </c>
      <c r="L1425" s="13">
        <f t="shared" si="204"/>
        <v>22.467364411105223</v>
      </c>
      <c r="M1425" s="10">
        <f t="shared" si="205"/>
        <v>-0.38977844603769185</v>
      </c>
      <c r="N1425" s="10">
        <f t="shared" si="211"/>
        <v>127.0015396671843</v>
      </c>
      <c r="P1425" s="13">
        <f t="shared" si="208"/>
        <v>14.234148867561437</v>
      </c>
      <c r="Q1425" s="13">
        <f t="shared" si="209"/>
        <v>8.233215543543785</v>
      </c>
    </row>
    <row r="1426" spans="9:17" ht="12.75">
      <c r="I1426" s="2">
        <f t="shared" si="207"/>
        <v>20550</v>
      </c>
      <c r="J1426" s="13">
        <f t="shared" si="206"/>
        <v>-8.24200080131574</v>
      </c>
      <c r="K1426" s="10">
        <f t="shared" si="210"/>
        <v>175</v>
      </c>
      <c r="L1426" s="13">
        <f t="shared" si="204"/>
        <v>22.476149668877177</v>
      </c>
      <c r="M1426" s="10">
        <f t="shared" si="205"/>
        <v>0.19043538316284625</v>
      </c>
      <c r="N1426" s="10">
        <f t="shared" si="211"/>
        <v>126.98277116194421</v>
      </c>
      <c r="P1426" s="13">
        <f t="shared" si="208"/>
        <v>14.234148867561437</v>
      </c>
      <c r="Q1426" s="13">
        <f t="shared" si="209"/>
        <v>8.24200080131574</v>
      </c>
    </row>
    <row r="1427" spans="9:17" ht="12.75">
      <c r="I1427" s="2">
        <f t="shared" si="207"/>
        <v>20565</v>
      </c>
      <c r="J1427" s="13">
        <f t="shared" si="206"/>
        <v>-8.237708557999074</v>
      </c>
      <c r="K1427" s="10">
        <f t="shared" si="210"/>
        <v>175</v>
      </c>
      <c r="L1427" s="13">
        <f t="shared" si="204"/>
        <v>22.47185742556051</v>
      </c>
      <c r="M1427" s="10">
        <f t="shared" si="205"/>
        <v>0.18614313984618036</v>
      </c>
      <c r="N1427" s="10">
        <f t="shared" si="211"/>
        <v>126.99194095448436</v>
      </c>
      <c r="P1427" s="13">
        <f t="shared" si="208"/>
        <v>14.234148867561437</v>
      </c>
      <c r="Q1427" s="13">
        <f t="shared" si="209"/>
        <v>8.237708557999074</v>
      </c>
    </row>
    <row r="1428" spans="9:17" ht="12.75">
      <c r="I1428" s="2">
        <f t="shared" si="207"/>
        <v>20580</v>
      </c>
      <c r="J1428" s="13">
        <f t="shared" si="206"/>
        <v>-8.23351305801016</v>
      </c>
      <c r="K1428" s="10">
        <f t="shared" si="210"/>
        <v>175</v>
      </c>
      <c r="L1428" s="13">
        <f t="shared" si="204"/>
        <v>22.467661925571598</v>
      </c>
      <c r="M1428" s="10">
        <f t="shared" si="205"/>
        <v>-0.3894809315713168</v>
      </c>
      <c r="N1428" s="10">
        <f t="shared" si="211"/>
        <v>127.00090406809704</v>
      </c>
      <c r="P1428" s="13">
        <f t="shared" si="208"/>
        <v>14.234148867561437</v>
      </c>
      <c r="Q1428" s="13">
        <f t="shared" si="209"/>
        <v>8.23351305801016</v>
      </c>
    </row>
    <row r="1429" spans="9:17" ht="12.75">
      <c r="I1429" s="2">
        <f t="shared" si="207"/>
        <v>20595</v>
      </c>
      <c r="J1429" s="13">
        <f t="shared" si="206"/>
        <v>-8.24229161007198</v>
      </c>
      <c r="K1429" s="10">
        <f t="shared" si="210"/>
        <v>175</v>
      </c>
      <c r="L1429" s="13">
        <f t="shared" si="204"/>
        <v>22.476440477633417</v>
      </c>
      <c r="M1429" s="10">
        <f t="shared" si="205"/>
        <v>0.19072619191908657</v>
      </c>
      <c r="N1429" s="10">
        <f t="shared" si="211"/>
        <v>126.98214988869225</v>
      </c>
      <c r="P1429" s="13">
        <f t="shared" si="208"/>
        <v>14.234148867561437</v>
      </c>
      <c r="Q1429" s="13">
        <f t="shared" si="209"/>
        <v>8.24229161007198</v>
      </c>
    </row>
    <row r="1430" spans="9:17" ht="12.75">
      <c r="I1430" s="2">
        <f t="shared" si="207"/>
        <v>20610</v>
      </c>
      <c r="J1430" s="13">
        <f t="shared" si="206"/>
        <v>-8.237992812185883</v>
      </c>
      <c r="K1430" s="10">
        <f t="shared" si="210"/>
        <v>175</v>
      </c>
      <c r="L1430" s="13">
        <f t="shared" si="204"/>
        <v>22.47214167974732</v>
      </c>
      <c r="M1430" s="10">
        <f t="shared" si="205"/>
        <v>0.18642739403298947</v>
      </c>
      <c r="N1430" s="10">
        <f t="shared" si="211"/>
        <v>126.99133368417618</v>
      </c>
      <c r="P1430" s="13">
        <f t="shared" si="208"/>
        <v>14.234148867561437</v>
      </c>
      <c r="Q1430" s="13">
        <f t="shared" si="209"/>
        <v>8.237992812185883</v>
      </c>
    </row>
    <row r="1431" spans="9:17" ht="12.75">
      <c r="I1431" s="2">
        <f t="shared" si="207"/>
        <v>20625</v>
      </c>
      <c r="J1431" s="13">
        <f t="shared" si="206"/>
        <v>-8.233790905361676</v>
      </c>
      <c r="K1431" s="10">
        <f t="shared" si="210"/>
        <v>175</v>
      </c>
      <c r="L1431" s="13">
        <f t="shared" si="204"/>
        <v>22.467939772923113</v>
      </c>
      <c r="M1431" s="10">
        <f t="shared" si="205"/>
        <v>-0.3892030842198011</v>
      </c>
      <c r="N1431" s="10">
        <f t="shared" si="211"/>
        <v>127.0003104851188</v>
      </c>
      <c r="P1431" s="13">
        <f t="shared" si="208"/>
        <v>14.234148867561437</v>
      </c>
      <c r="Q1431" s="13">
        <f t="shared" si="209"/>
        <v>8.233790905361676</v>
      </c>
    </row>
    <row r="1432" spans="9:17" ht="12.75">
      <c r="I1432" s="2">
        <f t="shared" si="207"/>
        <v>20640</v>
      </c>
      <c r="J1432" s="13">
        <f t="shared" si="206"/>
        <v>-8.242563194992542</v>
      </c>
      <c r="K1432" s="10">
        <f t="shared" si="210"/>
        <v>175</v>
      </c>
      <c r="L1432" s="13">
        <f t="shared" si="204"/>
        <v>22.47671206255398</v>
      </c>
      <c r="M1432" s="10">
        <f t="shared" si="205"/>
        <v>0.19099777683964803</v>
      </c>
      <c r="N1432" s="10">
        <f t="shared" si="211"/>
        <v>126.98156968454377</v>
      </c>
      <c r="P1432" s="13">
        <f t="shared" si="208"/>
        <v>14.234148867561437</v>
      </c>
      <c r="Q1432" s="13">
        <f t="shared" si="209"/>
        <v>8.242563194992542</v>
      </c>
    </row>
    <row r="1433" spans="9:17" ht="12.75">
      <c r="I1433" s="2">
        <f t="shared" si="207"/>
        <v>20655</v>
      </c>
      <c r="J1433" s="13">
        <f t="shared" si="206"/>
        <v>-8.238258275825096</v>
      </c>
      <c r="K1433" s="10">
        <f t="shared" si="210"/>
        <v>175</v>
      </c>
      <c r="L1433" s="13">
        <f t="shared" si="204"/>
        <v>22.472407143386533</v>
      </c>
      <c r="M1433" s="10">
        <f t="shared" si="205"/>
        <v>0.18669285767220245</v>
      </c>
      <c r="N1433" s="10">
        <f t="shared" si="211"/>
        <v>126.9907665573106</v>
      </c>
      <c r="P1433" s="13">
        <f t="shared" si="208"/>
        <v>14.234148867561437</v>
      </c>
      <c r="Q1433" s="13">
        <f t="shared" si="209"/>
        <v>8.238258275825096</v>
      </c>
    </row>
    <row r="1434" spans="9:17" ht="12.75">
      <c r="I1434" s="2">
        <f t="shared" si="207"/>
        <v>20670</v>
      </c>
      <c r="J1434" s="13">
        <f t="shared" si="206"/>
        <v>-8.234050385687748</v>
      </c>
      <c r="K1434" s="10">
        <f t="shared" si="210"/>
        <v>175</v>
      </c>
      <c r="L1434" s="13">
        <f t="shared" si="204"/>
        <v>22.468199253249185</v>
      </c>
      <c r="M1434" s="10">
        <f t="shared" si="205"/>
        <v>0.18248496753485455</v>
      </c>
      <c r="N1434" s="10">
        <f t="shared" si="211"/>
        <v>126.99975614078583</v>
      </c>
      <c r="P1434" s="13">
        <f t="shared" si="208"/>
        <v>14.234148867561437</v>
      </c>
      <c r="Q1434" s="13">
        <f t="shared" si="209"/>
        <v>8.234050385687748</v>
      </c>
    </row>
    <row r="1435" spans="9:17" ht="12.75">
      <c r="I1435" s="2">
        <f t="shared" si="207"/>
        <v>20685</v>
      </c>
      <c r="J1435" s="13">
        <f t="shared" si="206"/>
        <v>-8.22993733763289</v>
      </c>
      <c r="K1435" s="10">
        <f t="shared" si="210"/>
        <v>175</v>
      </c>
      <c r="L1435" s="13">
        <f t="shared" si="204"/>
        <v>22.464086205194327</v>
      </c>
      <c r="M1435" s="10">
        <f t="shared" si="205"/>
        <v>-0.3930566519485872</v>
      </c>
      <c r="N1435" s="10">
        <f t="shared" si="211"/>
        <v>127.00854310708485</v>
      </c>
      <c r="P1435" s="13">
        <f t="shared" si="208"/>
        <v>14.234148867561437</v>
      </c>
      <c r="Q1435" s="13">
        <f t="shared" si="209"/>
        <v>8.22993733763289</v>
      </c>
    </row>
    <row r="1436" spans="9:17" ht="12.75">
      <c r="I1436" s="2">
        <f t="shared" si="207"/>
        <v>20700</v>
      </c>
      <c r="J1436" s="13">
        <f t="shared" si="206"/>
        <v>-8.238796483235866</v>
      </c>
      <c r="K1436" s="10">
        <f t="shared" si="210"/>
        <v>175</v>
      </c>
      <c r="L1436" s="13">
        <f t="shared" si="204"/>
        <v>22.472945350797303</v>
      </c>
      <c r="M1436" s="10">
        <f t="shared" si="205"/>
        <v>0.1872310650829725</v>
      </c>
      <c r="N1436" s="10">
        <f t="shared" si="211"/>
        <v>126.9896167505694</v>
      </c>
      <c r="P1436" s="13">
        <f t="shared" si="208"/>
        <v>14.234148867561437</v>
      </c>
      <c r="Q1436" s="13">
        <f t="shared" si="209"/>
        <v>8.238796483235866</v>
      </c>
    </row>
    <row r="1437" spans="9:17" ht="12.75">
      <c r="I1437" s="2">
        <f t="shared" si="207"/>
        <v>20715</v>
      </c>
      <c r="J1437" s="13">
        <f t="shared" si="206"/>
        <v>-8.234576462384553</v>
      </c>
      <c r="K1437" s="10">
        <f t="shared" si="210"/>
        <v>175</v>
      </c>
      <c r="L1437" s="13">
        <f t="shared" si="204"/>
        <v>22.46872532994599</v>
      </c>
      <c r="M1437" s="10">
        <f t="shared" si="205"/>
        <v>0.18301104423165881</v>
      </c>
      <c r="N1437" s="10">
        <f t="shared" si="211"/>
        <v>126.99863224966084</v>
      </c>
      <c r="P1437" s="13">
        <f t="shared" si="208"/>
        <v>14.234148867561437</v>
      </c>
      <c r="Q1437" s="13">
        <f t="shared" si="209"/>
        <v>8.234576462384553</v>
      </c>
    </row>
    <row r="1438" spans="9:17" ht="12.75">
      <c r="I1438" s="2">
        <f t="shared" si="207"/>
        <v>20730</v>
      </c>
      <c r="J1438" s="13">
        <f t="shared" si="206"/>
        <v>-8.230451557031177</v>
      </c>
      <c r="K1438" s="10">
        <f t="shared" si="210"/>
        <v>175</v>
      </c>
      <c r="L1438" s="13">
        <f t="shared" si="204"/>
        <v>22.464600424592614</v>
      </c>
      <c r="M1438" s="10">
        <f t="shared" si="205"/>
        <v>-0.3925424325503002</v>
      </c>
      <c r="N1438" s="10">
        <f t="shared" si="211"/>
        <v>127.00744454746123</v>
      </c>
      <c r="P1438" s="13">
        <f t="shared" si="208"/>
        <v>14.234148867561437</v>
      </c>
      <c r="Q1438" s="13">
        <f t="shared" si="209"/>
        <v>8.230451557031177</v>
      </c>
    </row>
    <row r="1439" spans="9:17" ht="12.75">
      <c r="I1439" s="2">
        <f t="shared" si="207"/>
        <v>20745</v>
      </c>
      <c r="J1439" s="13">
        <f t="shared" si="206"/>
        <v>-8.239299112588554</v>
      </c>
      <c r="K1439" s="10">
        <f t="shared" si="210"/>
        <v>175</v>
      </c>
      <c r="L1439" s="13">
        <f t="shared" si="204"/>
        <v>22.47344798014999</v>
      </c>
      <c r="M1439" s="10">
        <f t="shared" si="205"/>
        <v>0.18773369443566068</v>
      </c>
      <c r="N1439" s="10">
        <f t="shared" si="211"/>
        <v>126.98854295149775</v>
      </c>
      <c r="P1439" s="13">
        <f t="shared" si="208"/>
        <v>14.234148867561437</v>
      </c>
      <c r="Q1439" s="13">
        <f t="shared" si="209"/>
        <v>8.239299112588554</v>
      </c>
    </row>
    <row r="1440" spans="9:17" ht="12.75">
      <c r="I1440" s="2">
        <f t="shared" si="207"/>
        <v>20760</v>
      </c>
      <c r="J1440" s="13">
        <f t="shared" si="206"/>
        <v>-8.235067762920902</v>
      </c>
      <c r="K1440" s="10">
        <f t="shared" si="210"/>
        <v>175</v>
      </c>
      <c r="L1440" s="13">
        <f t="shared" si="204"/>
        <v>22.46921663048234</v>
      </c>
      <c r="M1440" s="10">
        <f t="shared" si="205"/>
        <v>0.18350234476800864</v>
      </c>
      <c r="N1440" s="10">
        <f t="shared" si="211"/>
        <v>126.99758265306046</v>
      </c>
      <c r="P1440" s="13">
        <f t="shared" si="208"/>
        <v>14.234148867561437</v>
      </c>
      <c r="Q1440" s="13">
        <f t="shared" si="209"/>
        <v>8.235067762920902</v>
      </c>
    </row>
    <row r="1441" spans="9:17" ht="12.75">
      <c r="I1441" s="2">
        <f t="shared" si="207"/>
        <v>20775</v>
      </c>
      <c r="J1441" s="13">
        <f t="shared" si="206"/>
        <v>-8.230931784092586</v>
      </c>
      <c r="K1441" s="10">
        <f t="shared" si="210"/>
        <v>175</v>
      </c>
      <c r="L1441" s="13">
        <f t="shared" si="204"/>
        <v>22.465080651654024</v>
      </c>
      <c r="M1441" s="10">
        <f t="shared" si="205"/>
        <v>-0.3920622054888909</v>
      </c>
      <c r="N1441" s="10">
        <f t="shared" si="211"/>
        <v>127.00641860783004</v>
      </c>
      <c r="P1441" s="13">
        <f t="shared" si="208"/>
        <v>14.234148867561437</v>
      </c>
      <c r="Q1441" s="13">
        <f t="shared" si="209"/>
        <v>8.230931784092586</v>
      </c>
    </row>
    <row r="1442" spans="9:17" ht="12.75">
      <c r="I1442" s="2">
        <f t="shared" si="207"/>
        <v>20790</v>
      </c>
      <c r="J1442" s="13">
        <f t="shared" si="206"/>
        <v>-8.239768515761245</v>
      </c>
      <c r="K1442" s="10">
        <f t="shared" si="210"/>
        <v>175</v>
      </c>
      <c r="L1442" s="13">
        <f t="shared" si="204"/>
        <v>22.473917383322682</v>
      </c>
      <c r="M1442" s="10">
        <f t="shared" si="205"/>
        <v>0.1882030976083513</v>
      </c>
      <c r="N1442" s="10">
        <f t="shared" si="211"/>
        <v>126.98754013562882</v>
      </c>
      <c r="P1442" s="13">
        <f t="shared" si="208"/>
        <v>14.234148867561437</v>
      </c>
      <c r="Q1442" s="13">
        <f t="shared" si="209"/>
        <v>8.239768515761245</v>
      </c>
    </row>
    <row r="1443" spans="9:17" ht="12.75">
      <c r="I1443" s="2">
        <f t="shared" si="207"/>
        <v>20805</v>
      </c>
      <c r="J1443" s="13">
        <f t="shared" si="206"/>
        <v>-8.235526586165651</v>
      </c>
      <c r="K1443" s="10">
        <f t="shared" si="210"/>
        <v>175</v>
      </c>
      <c r="L1443" s="13">
        <f t="shared" si="204"/>
        <v>22.46967545372709</v>
      </c>
      <c r="M1443" s="10">
        <f t="shared" si="205"/>
        <v>0.18396116801275753</v>
      </c>
      <c r="N1443" s="10">
        <f t="shared" si="211"/>
        <v>126.99660243976486</v>
      </c>
      <c r="P1443" s="13">
        <f t="shared" si="208"/>
        <v>14.234148867561437</v>
      </c>
      <c r="Q1443" s="13">
        <f t="shared" si="209"/>
        <v>8.235526586165651</v>
      </c>
    </row>
    <row r="1444" spans="9:17" ht="12.75">
      <c r="I1444" s="2">
        <f t="shared" si="207"/>
        <v>20820</v>
      </c>
      <c r="J1444" s="13">
        <f t="shared" si="206"/>
        <v>-8.231380265871522</v>
      </c>
      <c r="K1444" s="10">
        <f t="shared" si="210"/>
        <v>175</v>
      </c>
      <c r="L1444" s="13">
        <f t="shared" si="204"/>
        <v>22.46552913343296</v>
      </c>
      <c r="M1444" s="10">
        <f t="shared" si="205"/>
        <v>-0.3916137237099555</v>
      </c>
      <c r="N1444" s="10">
        <f t="shared" si="211"/>
        <v>127.00546048766596</v>
      </c>
      <c r="P1444" s="13">
        <f t="shared" si="208"/>
        <v>14.234148867561437</v>
      </c>
      <c r="Q1444" s="13">
        <f t="shared" si="209"/>
        <v>8.231380265871522</v>
      </c>
    </row>
    <row r="1445" spans="9:17" ht="12.75">
      <c r="I1445" s="2">
        <f t="shared" si="207"/>
        <v>20835</v>
      </c>
      <c r="J1445" s="13">
        <f t="shared" si="206"/>
        <v>-8.240206889161755</v>
      </c>
      <c r="K1445" s="10">
        <f t="shared" si="210"/>
        <v>175</v>
      </c>
      <c r="L1445" s="13">
        <f t="shared" si="204"/>
        <v>22.47435575672319</v>
      </c>
      <c r="M1445" s="10">
        <f t="shared" si="205"/>
        <v>0.18864147100886086</v>
      </c>
      <c r="N1445" s="10">
        <f t="shared" si="211"/>
        <v>126.98660361063682</v>
      </c>
      <c r="P1445" s="13">
        <f t="shared" si="208"/>
        <v>14.234148867561437</v>
      </c>
      <c r="Q1445" s="13">
        <f t="shared" si="209"/>
        <v>8.240206889161755</v>
      </c>
    </row>
    <row r="1446" spans="9:17" ht="12.75">
      <c r="I1446" s="2">
        <f t="shared" si="207"/>
        <v>20850</v>
      </c>
      <c r="J1446" s="13">
        <f t="shared" si="206"/>
        <v>-8.235955079021558</v>
      </c>
      <c r="K1446" s="10">
        <f t="shared" si="210"/>
        <v>175</v>
      </c>
      <c r="L1446" s="13">
        <f t="shared" si="204"/>
        <v>22.470103946582995</v>
      </c>
      <c r="M1446" s="10">
        <f t="shared" si="205"/>
        <v>0.18438966086866415</v>
      </c>
      <c r="N1446" s="10">
        <f t="shared" si="211"/>
        <v>126.99568702320906</v>
      </c>
      <c r="P1446" s="13">
        <f t="shared" si="208"/>
        <v>14.234148867561437</v>
      </c>
      <c r="Q1446" s="13">
        <f t="shared" si="209"/>
        <v>8.235955079021558</v>
      </c>
    </row>
    <row r="1447" spans="9:17" ht="12.75">
      <c r="I1447" s="2">
        <f t="shared" si="207"/>
        <v>20865</v>
      </c>
      <c r="J1447" s="13">
        <f t="shared" si="206"/>
        <v>-8.23179910088146</v>
      </c>
      <c r="K1447" s="10">
        <f t="shared" si="210"/>
        <v>175</v>
      </c>
      <c r="L1447" s="13">
        <f t="shared" si="204"/>
        <v>22.465947968442897</v>
      </c>
      <c r="M1447" s="10">
        <f t="shared" si="205"/>
        <v>-0.3911948887000172</v>
      </c>
      <c r="N1447" s="10">
        <f t="shared" si="211"/>
        <v>127.00456570378108</v>
      </c>
      <c r="P1447" s="13">
        <f t="shared" si="208"/>
        <v>14.234148867561437</v>
      </c>
      <c r="Q1447" s="13">
        <f t="shared" si="209"/>
        <v>8.23179910088146</v>
      </c>
    </row>
    <row r="1448" spans="9:17" ht="12.75">
      <c r="I1448" s="2">
        <f t="shared" si="207"/>
        <v>20880</v>
      </c>
      <c r="J1448" s="13">
        <f t="shared" si="206"/>
        <v>-8.240616284004947</v>
      </c>
      <c r="K1448" s="10">
        <f t="shared" si="210"/>
        <v>175</v>
      </c>
      <c r="L1448" s="13">
        <f t="shared" si="204"/>
        <v>22.474765151566384</v>
      </c>
      <c r="M1448" s="10">
        <f t="shared" si="205"/>
        <v>0.1890508658520531</v>
      </c>
      <c r="N1448" s="10">
        <f t="shared" si="211"/>
        <v>126.9857289943809</v>
      </c>
      <c r="P1448" s="13">
        <f t="shared" si="208"/>
        <v>14.234148867561437</v>
      </c>
      <c r="Q1448" s="13">
        <f t="shared" si="209"/>
        <v>8.240616284004947</v>
      </c>
    </row>
    <row r="1449" spans="9:17" ht="12.75">
      <c r="I1449" s="2">
        <f t="shared" si="207"/>
        <v>20895</v>
      </c>
      <c r="J1449" s="13">
        <f t="shared" si="206"/>
        <v>-8.236355246470922</v>
      </c>
      <c r="K1449" s="10">
        <f t="shared" si="210"/>
        <v>175</v>
      </c>
      <c r="L1449" s="13">
        <f t="shared" si="204"/>
        <v>22.47050411403236</v>
      </c>
      <c r="M1449" s="10">
        <f t="shared" si="205"/>
        <v>0.18478982831802782</v>
      </c>
      <c r="N1449" s="10">
        <f t="shared" si="211"/>
        <v>126.99483212002178</v>
      </c>
      <c r="P1449" s="13">
        <f t="shared" si="208"/>
        <v>14.234148867561437</v>
      </c>
      <c r="Q1449" s="13">
        <f t="shared" si="209"/>
        <v>8.236355246470922</v>
      </c>
    </row>
    <row r="1450" spans="9:17" ht="12.75">
      <c r="I1450" s="2">
        <f t="shared" si="207"/>
        <v>20910</v>
      </c>
      <c r="J1450" s="13">
        <f t="shared" si="206"/>
        <v>-8.232190248914204</v>
      </c>
      <c r="K1450" s="10">
        <f t="shared" si="210"/>
        <v>175</v>
      </c>
      <c r="L1450" s="13">
        <f t="shared" si="204"/>
        <v>22.46633911647564</v>
      </c>
      <c r="M1450" s="10">
        <f t="shared" si="205"/>
        <v>-0.3908037406672733</v>
      </c>
      <c r="N1450" s="10">
        <f t="shared" si="211"/>
        <v>127.0037300693475</v>
      </c>
      <c r="P1450" s="13">
        <f t="shared" si="208"/>
        <v>14.234148867561437</v>
      </c>
      <c r="Q1450" s="13">
        <f t="shared" si="209"/>
        <v>8.232190248914204</v>
      </c>
    </row>
    <row r="1451" spans="9:17" ht="12.75">
      <c r="I1451" s="2">
        <f t="shared" si="207"/>
        <v>20925</v>
      </c>
      <c r="J1451" s="13">
        <f t="shared" si="206"/>
        <v>-8.240998615910655</v>
      </c>
      <c r="K1451" s="10">
        <f t="shared" si="210"/>
        <v>175</v>
      </c>
      <c r="L1451" s="13">
        <f t="shared" si="204"/>
        <v>22.475147483472092</v>
      </c>
      <c r="M1451" s="10">
        <f t="shared" si="205"/>
        <v>0.18943319775776146</v>
      </c>
      <c r="N1451" s="10">
        <f t="shared" si="211"/>
        <v>126.98491219440054</v>
      </c>
      <c r="P1451" s="13">
        <f t="shared" si="208"/>
        <v>14.234148867561437</v>
      </c>
      <c r="Q1451" s="13">
        <f t="shared" si="209"/>
        <v>8.240998615910655</v>
      </c>
    </row>
    <row r="1452" spans="9:17" ht="12.75">
      <c r="I1452" s="2">
        <f t="shared" si="207"/>
        <v>20940</v>
      </c>
      <c r="J1452" s="13">
        <f t="shared" si="206"/>
        <v>-8.236728960957219</v>
      </c>
      <c r="K1452" s="10">
        <f t="shared" si="210"/>
        <v>175</v>
      </c>
      <c r="L1452" s="13">
        <f aca="true" t="shared" si="212" ref="L1452:L1515">(K1452-N1452)/D$12</f>
        <v>22.470877828518656</v>
      </c>
      <c r="M1452" s="10">
        <f t="shared" si="205"/>
        <v>0.18516354280432523</v>
      </c>
      <c r="N1452" s="10">
        <f t="shared" si="211"/>
        <v>126.99403372998287</v>
      </c>
      <c r="P1452" s="13">
        <f t="shared" si="208"/>
        <v>14.234148867561437</v>
      </c>
      <c r="Q1452" s="13">
        <f t="shared" si="209"/>
        <v>8.236728960957219</v>
      </c>
    </row>
    <row r="1453" spans="9:17" ht="12.75">
      <c r="I1453" s="2">
        <f t="shared" si="207"/>
        <v>20955</v>
      </c>
      <c r="J1453" s="13">
        <f t="shared" si="206"/>
        <v>-8.232555540210019</v>
      </c>
      <c r="K1453" s="10">
        <f t="shared" si="210"/>
        <v>175</v>
      </c>
      <c r="L1453" s="13">
        <f t="shared" si="212"/>
        <v>22.466704407771456</v>
      </c>
      <c r="M1453" s="10">
        <f t="shared" si="205"/>
        <v>-0.3904384493714588</v>
      </c>
      <c r="N1453" s="10">
        <f t="shared" si="211"/>
        <v>127.00294967430644</v>
      </c>
      <c r="P1453" s="13">
        <f t="shared" si="208"/>
        <v>14.234148867561437</v>
      </c>
      <c r="Q1453" s="13">
        <f t="shared" si="209"/>
        <v>8.232555540210019</v>
      </c>
    </row>
    <row r="1454" spans="9:17" ht="12.75">
      <c r="I1454" s="2">
        <f t="shared" si="207"/>
        <v>20970</v>
      </c>
      <c r="J1454" s="13">
        <f t="shared" si="206"/>
        <v>-8.24135567386718</v>
      </c>
      <c r="K1454" s="10">
        <f t="shared" si="210"/>
        <v>175</v>
      </c>
      <c r="L1454" s="13">
        <f t="shared" si="212"/>
        <v>22.475504541428617</v>
      </c>
      <c r="M1454" s="10">
        <f aca="true" t="shared" si="213" ref="M1454:M1517">L1454-VLOOKUP(N1454,A$44:C$251,2,TRUE)</f>
        <v>0.18979025571428565</v>
      </c>
      <c r="N1454" s="10">
        <f t="shared" si="211"/>
        <v>126.98414938876614</v>
      </c>
      <c r="P1454" s="13">
        <f t="shared" si="208"/>
        <v>14.234148867561437</v>
      </c>
      <c r="Q1454" s="13">
        <f t="shared" si="209"/>
        <v>8.24135567386718</v>
      </c>
    </row>
    <row r="1455" spans="9:17" ht="12.75">
      <c r="I1455" s="2">
        <f t="shared" si="207"/>
        <v>20985</v>
      </c>
      <c r="J1455" s="13">
        <f t="shared" si="206"/>
        <v>-8.237077971146558</v>
      </c>
      <c r="K1455" s="10">
        <f t="shared" si="210"/>
        <v>175</v>
      </c>
      <c r="L1455" s="13">
        <f t="shared" si="212"/>
        <v>22.471226838707995</v>
      </c>
      <c r="M1455" s="10">
        <f t="shared" si="213"/>
        <v>0.18551255299366431</v>
      </c>
      <c r="N1455" s="10">
        <f t="shared" si="211"/>
        <v>126.99328811730565</v>
      </c>
      <c r="P1455" s="13">
        <f t="shared" si="208"/>
        <v>14.234148867561437</v>
      </c>
      <c r="Q1455" s="13">
        <f t="shared" si="209"/>
        <v>8.237077971146558</v>
      </c>
    </row>
    <row r="1456" spans="9:17" ht="12.75">
      <c r="I1456" s="2">
        <f t="shared" si="207"/>
        <v>21000</v>
      </c>
      <c r="J1456" s="13">
        <f t="shared" si="206"/>
        <v>-8.23289668402165</v>
      </c>
      <c r="K1456" s="10">
        <f t="shared" si="210"/>
        <v>175</v>
      </c>
      <c r="L1456" s="13">
        <f t="shared" si="212"/>
        <v>22.467045551583087</v>
      </c>
      <c r="M1456" s="10">
        <f t="shared" si="213"/>
        <v>-0.39009730555982713</v>
      </c>
      <c r="N1456" s="10">
        <f t="shared" si="211"/>
        <v>127.0022208670725</v>
      </c>
      <c r="P1456" s="13">
        <f t="shared" si="208"/>
        <v>14.234148867561437</v>
      </c>
      <c r="Q1456" s="13">
        <f t="shared" si="209"/>
        <v>8.23289668402165</v>
      </c>
    </row>
    <row r="1457" spans="9:17" ht="12.75">
      <c r="I1457" s="2">
        <f t="shared" si="207"/>
        <v>21015</v>
      </c>
      <c r="J1457" s="13">
        <f t="shared" si="206"/>
        <v>-8.241689128602221</v>
      </c>
      <c r="K1457" s="10">
        <f t="shared" si="210"/>
        <v>175</v>
      </c>
      <c r="L1457" s="13">
        <f t="shared" si="212"/>
        <v>22.47583799616366</v>
      </c>
      <c r="M1457" s="10">
        <f t="shared" si="213"/>
        <v>0.19012371044932763</v>
      </c>
      <c r="N1457" s="10">
        <f t="shared" si="211"/>
        <v>126.98343700819582</v>
      </c>
      <c r="P1457" s="13">
        <f t="shared" si="208"/>
        <v>14.234148867561437</v>
      </c>
      <c r="Q1457" s="13">
        <f t="shared" si="209"/>
        <v>8.241689128602221</v>
      </c>
    </row>
    <row r="1458" spans="9:17" ht="12.75">
      <c r="I1458" s="2">
        <f t="shared" si="207"/>
        <v>21030</v>
      </c>
      <c r="J1458" s="13">
        <f t="shared" si="206"/>
        <v>-8.237403910109926</v>
      </c>
      <c r="K1458" s="10">
        <f t="shared" si="210"/>
        <v>175</v>
      </c>
      <c r="L1458" s="13">
        <f t="shared" si="212"/>
        <v>22.471552777671363</v>
      </c>
      <c r="M1458" s="10">
        <f t="shared" si="213"/>
        <v>0.18583849195703195</v>
      </c>
      <c r="N1458" s="10">
        <f t="shared" si="211"/>
        <v>126.99259179315663</v>
      </c>
      <c r="P1458" s="13">
        <f t="shared" si="208"/>
        <v>14.234148867561437</v>
      </c>
      <c r="Q1458" s="13">
        <f t="shared" si="209"/>
        <v>8.237403910109926</v>
      </c>
    </row>
    <row r="1459" spans="9:17" ht="12.75">
      <c r="I1459" s="2">
        <f t="shared" si="207"/>
        <v>21045</v>
      </c>
      <c r="J1459" s="13">
        <f t="shared" si="206"/>
        <v>-8.233215276612128</v>
      </c>
      <c r="K1459" s="10">
        <f t="shared" si="210"/>
        <v>175</v>
      </c>
      <c r="L1459" s="13">
        <f t="shared" si="212"/>
        <v>22.467364144173565</v>
      </c>
      <c r="M1459" s="10">
        <f t="shared" si="213"/>
        <v>-0.3897787129693491</v>
      </c>
      <c r="N1459" s="10">
        <f t="shared" si="211"/>
        <v>127.00154023744739</v>
      </c>
      <c r="P1459" s="13">
        <f t="shared" si="208"/>
        <v>14.234148867561437</v>
      </c>
      <c r="Q1459" s="13">
        <f t="shared" si="209"/>
        <v>8.233215276612128</v>
      </c>
    </row>
    <row r="1460" spans="9:17" ht="12.75">
      <c r="I1460" s="2">
        <f t="shared" si="207"/>
        <v>21060</v>
      </c>
      <c r="J1460" s="13">
        <f t="shared" si="206"/>
        <v>-8.242000540400486</v>
      </c>
      <c r="K1460" s="10">
        <f t="shared" si="210"/>
        <v>175</v>
      </c>
      <c r="L1460" s="13">
        <f t="shared" si="212"/>
        <v>22.476149407961923</v>
      </c>
      <c r="M1460" s="10">
        <f t="shared" si="213"/>
        <v>0.1904351222475924</v>
      </c>
      <c r="N1460" s="10">
        <f t="shared" si="211"/>
        <v>126.98277171935408</v>
      </c>
      <c r="P1460" s="13">
        <f t="shared" si="208"/>
        <v>14.234148867561437</v>
      </c>
      <c r="Q1460" s="13">
        <f t="shared" si="209"/>
        <v>8.242000540400486</v>
      </c>
    </row>
    <row r="1461" spans="9:17" ht="12.75">
      <c r="I1461" s="2">
        <f t="shared" si="207"/>
        <v>21075</v>
      </c>
      <c r="J1461" s="13">
        <f t="shared" si="206"/>
        <v>-8.237708302964617</v>
      </c>
      <c r="K1461" s="10">
        <f t="shared" si="210"/>
        <v>175</v>
      </c>
      <c r="L1461" s="13">
        <f t="shared" si="212"/>
        <v>22.471857170526054</v>
      </c>
      <c r="M1461" s="10">
        <f t="shared" si="213"/>
        <v>0.1861428848117228</v>
      </c>
      <c r="N1461" s="10">
        <f t="shared" si="211"/>
        <v>126.99194149933071</v>
      </c>
      <c r="P1461" s="13">
        <f t="shared" si="208"/>
        <v>14.234148867561437</v>
      </c>
      <c r="Q1461" s="13">
        <f t="shared" si="209"/>
        <v>8.237708302964617</v>
      </c>
    </row>
    <row r="1462" spans="9:17" ht="12.75">
      <c r="I1462" s="2">
        <f t="shared" si="207"/>
        <v>21090</v>
      </c>
      <c r="J1462" s="13">
        <f t="shared" si="206"/>
        <v>-8.233512808723951</v>
      </c>
      <c r="K1462" s="10">
        <f t="shared" si="210"/>
        <v>175</v>
      </c>
      <c r="L1462" s="13">
        <f t="shared" si="212"/>
        <v>22.46766167628539</v>
      </c>
      <c r="M1462" s="10">
        <f t="shared" si="213"/>
        <v>-0.38948118085752625</v>
      </c>
      <c r="N1462" s="10">
        <f t="shared" si="211"/>
        <v>127.00090460066303</v>
      </c>
      <c r="P1462" s="13">
        <f t="shared" si="208"/>
        <v>14.234148867561437</v>
      </c>
      <c r="Q1462" s="13">
        <f t="shared" si="209"/>
        <v>8.233512808723951</v>
      </c>
    </row>
    <row r="1463" spans="9:17" ht="12.75">
      <c r="I1463" s="2">
        <f t="shared" si="207"/>
        <v>21105</v>
      </c>
      <c r="J1463" s="13">
        <f t="shared" si="206"/>
        <v>-8.242291366404455</v>
      </c>
      <c r="K1463" s="10">
        <f t="shared" si="210"/>
        <v>175</v>
      </c>
      <c r="L1463" s="13">
        <f t="shared" si="212"/>
        <v>22.476440233965892</v>
      </c>
      <c r="M1463" s="10">
        <f t="shared" si="213"/>
        <v>0.1907259482515613</v>
      </c>
      <c r="N1463" s="10">
        <f t="shared" si="211"/>
        <v>126.98215040925469</v>
      </c>
      <c r="P1463" s="13">
        <f t="shared" si="208"/>
        <v>14.234148867561437</v>
      </c>
      <c r="Q1463" s="13">
        <f t="shared" si="209"/>
        <v>8.242291366404455</v>
      </c>
    </row>
    <row r="1464" spans="9:17" ht="12.75">
      <c r="I1464" s="2">
        <f t="shared" si="207"/>
        <v>21120</v>
      </c>
      <c r="J1464" s="13">
        <f aca="true" t="shared" si="214" ref="J1464:J1527">(D$7-K1464)*(1/D$13+1/D$14)+D$16*(D$19*D$21*D$17+D$20*D$22*D$18)*(D$7^4-K1464^4)-(K1464-N1464)/D$12</f>
        <v>-8.237992574010406</v>
      </c>
      <c r="K1464" s="10">
        <f t="shared" si="210"/>
        <v>175</v>
      </c>
      <c r="L1464" s="13">
        <f t="shared" si="212"/>
        <v>22.472141441571843</v>
      </c>
      <c r="M1464" s="10">
        <f t="shared" si="213"/>
        <v>0.1864271558575119</v>
      </c>
      <c r="N1464" s="10">
        <f t="shared" si="211"/>
        <v>126.99133419300561</v>
      </c>
      <c r="P1464" s="13">
        <f t="shared" si="208"/>
        <v>14.234148867561437</v>
      </c>
      <c r="Q1464" s="13">
        <f t="shared" si="209"/>
        <v>8.237992574010406</v>
      </c>
    </row>
    <row r="1465" spans="9:17" ht="12.75">
      <c r="I1465" s="2">
        <f aca="true" t="shared" si="215" ref="I1465:I1528">I1464+I$41</f>
        <v>21135</v>
      </c>
      <c r="J1465" s="13">
        <f t="shared" si="214"/>
        <v>-8.23379067255446</v>
      </c>
      <c r="K1465" s="10">
        <f t="shared" si="210"/>
        <v>175</v>
      </c>
      <c r="L1465" s="13">
        <f t="shared" si="212"/>
        <v>22.467939540115896</v>
      </c>
      <c r="M1465" s="10">
        <f t="shared" si="213"/>
        <v>-0.38920331702701816</v>
      </c>
      <c r="N1465" s="10">
        <f t="shared" si="211"/>
        <v>127.00031098247968</v>
      </c>
      <c r="P1465" s="13">
        <f aca="true" t="shared" si="216" ref="P1465:P1528">(D$7-K1465)*(1/D$13+1/D$14)+D$16*(D$19*D$21*D$17+D$20*D$22*D$18)*(D$7^4-K1465^4)</f>
        <v>14.234148867561437</v>
      </c>
      <c r="Q1465" s="13">
        <f aca="true" t="shared" si="217" ref="Q1465:Q1528">IF(K1465=D$8,-J1465,0)</f>
        <v>8.23379067255446</v>
      </c>
    </row>
    <row r="1466" spans="9:17" ht="12.75">
      <c r="I1466" s="2">
        <f t="shared" si="215"/>
        <v>21150</v>
      </c>
      <c r="J1466" s="13">
        <f t="shared" si="214"/>
        <v>-8.24256296743259</v>
      </c>
      <c r="K1466" s="10">
        <f t="shared" si="210"/>
        <v>175</v>
      </c>
      <c r="L1466" s="13">
        <f t="shared" si="212"/>
        <v>22.476711834994028</v>
      </c>
      <c r="M1466" s="10">
        <f t="shared" si="213"/>
        <v>0.1909975492796967</v>
      </c>
      <c r="N1466" s="10">
        <f t="shared" si="211"/>
        <v>126.98157017069458</v>
      </c>
      <c r="P1466" s="13">
        <f t="shared" si="216"/>
        <v>14.234148867561437</v>
      </c>
      <c r="Q1466" s="13">
        <f t="shared" si="217"/>
        <v>8.24256296743259</v>
      </c>
    </row>
    <row r="1467" spans="9:17" ht="12.75">
      <c r="I1467" s="2">
        <f t="shared" si="215"/>
        <v>21165</v>
      </c>
      <c r="J1467" s="13">
        <f t="shared" si="214"/>
        <v>-8.238258053394134</v>
      </c>
      <c r="K1467" s="10">
        <f t="shared" si="210"/>
        <v>175</v>
      </c>
      <c r="L1467" s="13">
        <f t="shared" si="212"/>
        <v>22.47240692095557</v>
      </c>
      <c r="M1467" s="10">
        <f t="shared" si="213"/>
        <v>0.1866926352412399</v>
      </c>
      <c r="N1467" s="10">
        <f t="shared" si="211"/>
        <v>126.99076703250401</v>
      </c>
      <c r="P1467" s="13">
        <f t="shared" si="216"/>
        <v>14.234148867561437</v>
      </c>
      <c r="Q1467" s="13">
        <f t="shared" si="217"/>
        <v>8.238258053394134</v>
      </c>
    </row>
    <row r="1468" spans="9:17" ht="12.75">
      <c r="I1468" s="2">
        <f t="shared" si="215"/>
        <v>21180</v>
      </c>
      <c r="J1468" s="13">
        <f t="shared" si="214"/>
        <v>-8.234050168270176</v>
      </c>
      <c r="K1468" s="10">
        <f t="shared" si="210"/>
        <v>175</v>
      </c>
      <c r="L1468" s="13">
        <f t="shared" si="212"/>
        <v>22.468199035831613</v>
      </c>
      <c r="M1468" s="10">
        <f t="shared" si="213"/>
        <v>0.1824847501172826</v>
      </c>
      <c r="N1468" s="10">
        <f t="shared" si="211"/>
        <v>126.99975660526883</v>
      </c>
      <c r="P1468" s="13">
        <f t="shared" si="216"/>
        <v>14.234148867561437</v>
      </c>
      <c r="Q1468" s="13">
        <f t="shared" si="217"/>
        <v>8.234050168270176</v>
      </c>
    </row>
    <row r="1469" spans="9:17" ht="12.75">
      <c r="I1469" s="2">
        <f t="shared" si="215"/>
        <v>21195</v>
      </c>
      <c r="J1469" s="13">
        <f t="shared" si="214"/>
        <v>-8.229937125115718</v>
      </c>
      <c r="K1469" s="10">
        <f t="shared" si="210"/>
        <v>175</v>
      </c>
      <c r="L1469" s="13">
        <f t="shared" si="212"/>
        <v>22.464085992677155</v>
      </c>
      <c r="M1469" s="10">
        <f t="shared" si="213"/>
        <v>-0.39305686446575905</v>
      </c>
      <c r="N1469" s="10">
        <f t="shared" si="211"/>
        <v>127.0085435610988</v>
      </c>
      <c r="P1469" s="13">
        <f t="shared" si="216"/>
        <v>14.234148867561437</v>
      </c>
      <c r="Q1469" s="13">
        <f t="shared" si="217"/>
        <v>8.229937125115718</v>
      </c>
    </row>
    <row r="1470" spans="9:17" ht="12.75">
      <c r="I1470" s="2">
        <f t="shared" si="215"/>
        <v>21210</v>
      </c>
      <c r="J1470" s="13">
        <f t="shared" si="214"/>
        <v>-8.23879627550864</v>
      </c>
      <c r="K1470" s="10">
        <f t="shared" si="210"/>
        <v>175</v>
      </c>
      <c r="L1470" s="13">
        <f t="shared" si="212"/>
        <v>22.472945143070078</v>
      </c>
      <c r="M1470" s="10">
        <f t="shared" si="213"/>
        <v>0.18723085735574685</v>
      </c>
      <c r="N1470" s="10">
        <f t="shared" si="211"/>
        <v>126.98961719435029</v>
      </c>
      <c r="P1470" s="13">
        <f t="shared" si="216"/>
        <v>14.234148867561437</v>
      </c>
      <c r="Q1470" s="13">
        <f t="shared" si="217"/>
        <v>8.23879627550864</v>
      </c>
    </row>
    <row r="1471" spans="9:17" ht="12.75">
      <c r="I1471" s="2">
        <f t="shared" si="215"/>
        <v>21225</v>
      </c>
      <c r="J1471" s="13">
        <f t="shared" si="214"/>
        <v>-8.234576259339313</v>
      </c>
      <c r="K1471" s="10">
        <f t="shared" si="210"/>
        <v>175</v>
      </c>
      <c r="L1471" s="13">
        <f t="shared" si="212"/>
        <v>22.46872512690075</v>
      </c>
      <c r="M1471" s="10">
        <f t="shared" si="213"/>
        <v>0.18301084118641953</v>
      </c>
      <c r="N1471" s="10">
        <f t="shared" si="211"/>
        <v>126.99863268343931</v>
      </c>
      <c r="P1471" s="13">
        <f t="shared" si="216"/>
        <v>14.234148867561437</v>
      </c>
      <c r="Q1471" s="13">
        <f t="shared" si="217"/>
        <v>8.234576259339313</v>
      </c>
    </row>
    <row r="1472" spans="9:17" ht="12.75">
      <c r="I1472" s="2">
        <f t="shared" si="215"/>
        <v>21240</v>
      </c>
      <c r="J1472" s="13">
        <f t="shared" si="214"/>
        <v>-8.230451358562398</v>
      </c>
      <c r="K1472" s="10">
        <f t="shared" si="210"/>
        <v>175</v>
      </c>
      <c r="L1472" s="13">
        <f t="shared" si="212"/>
        <v>22.464600226123835</v>
      </c>
      <c r="M1472" s="10">
        <f t="shared" si="213"/>
        <v>-0.3925426310190794</v>
      </c>
      <c r="N1472" s="10">
        <f t="shared" si="211"/>
        <v>127.00744497146272</v>
      </c>
      <c r="P1472" s="13">
        <f t="shared" si="216"/>
        <v>14.234148867561437</v>
      </c>
      <c r="Q1472" s="13">
        <f t="shared" si="217"/>
        <v>8.230451358562398</v>
      </c>
    </row>
    <row r="1473" spans="9:17" ht="12.75">
      <c r="I1473" s="2">
        <f t="shared" si="215"/>
        <v>21255</v>
      </c>
      <c r="J1473" s="13">
        <f t="shared" si="214"/>
        <v>-8.239298918593082</v>
      </c>
      <c r="K1473" s="10">
        <f t="shared" si="210"/>
        <v>175</v>
      </c>
      <c r="L1473" s="13">
        <f t="shared" si="212"/>
        <v>22.47344778615452</v>
      </c>
      <c r="M1473" s="10">
        <f t="shared" si="213"/>
        <v>0.18773350044018855</v>
      </c>
      <c r="N1473" s="10">
        <f t="shared" si="211"/>
        <v>126.98854336594262</v>
      </c>
      <c r="P1473" s="13">
        <f t="shared" si="216"/>
        <v>14.234148867561437</v>
      </c>
      <c r="Q1473" s="13">
        <f t="shared" si="217"/>
        <v>8.239298918593082</v>
      </c>
    </row>
    <row r="1474" spans="9:17" ht="12.75">
      <c r="I1474" s="2">
        <f t="shared" si="215"/>
        <v>21270</v>
      </c>
      <c r="J1474" s="13">
        <f t="shared" si="214"/>
        <v>-8.235067573297918</v>
      </c>
      <c r="K1474" s="10">
        <f t="shared" si="210"/>
        <v>175</v>
      </c>
      <c r="L1474" s="13">
        <f t="shared" si="212"/>
        <v>22.469216440859356</v>
      </c>
      <c r="M1474" s="10">
        <f t="shared" si="213"/>
        <v>0.18350215514502466</v>
      </c>
      <c r="N1474" s="10">
        <f t="shared" si="211"/>
        <v>126.99758305816411</v>
      </c>
      <c r="P1474" s="13">
        <f t="shared" si="216"/>
        <v>14.234148867561437</v>
      </c>
      <c r="Q1474" s="13">
        <f t="shared" si="217"/>
        <v>8.235067573297918</v>
      </c>
    </row>
    <row r="1475" spans="9:17" ht="12.75">
      <c r="I1475" s="2">
        <f t="shared" si="215"/>
        <v>21285</v>
      </c>
      <c r="J1475" s="13">
        <f t="shared" si="214"/>
        <v>-8.230931598743535</v>
      </c>
      <c r="K1475" s="10">
        <f t="shared" si="210"/>
        <v>175</v>
      </c>
      <c r="L1475" s="13">
        <f t="shared" si="212"/>
        <v>22.465080466304972</v>
      </c>
      <c r="M1475" s="10">
        <f t="shared" si="213"/>
        <v>-0.3920623908379426</v>
      </c>
      <c r="N1475" s="10">
        <f t="shared" si="211"/>
        <v>127.00641900380302</v>
      </c>
      <c r="P1475" s="13">
        <f t="shared" si="216"/>
        <v>14.234148867561437</v>
      </c>
      <c r="Q1475" s="13">
        <f t="shared" si="217"/>
        <v>8.230931598743535</v>
      </c>
    </row>
    <row r="1476" spans="9:17" ht="12.75">
      <c r="I1476" s="2">
        <f t="shared" si="215"/>
        <v>21300</v>
      </c>
      <c r="J1476" s="13">
        <f t="shared" si="214"/>
        <v>-8.23976833458979</v>
      </c>
      <c r="K1476" s="10">
        <f t="shared" si="210"/>
        <v>175</v>
      </c>
      <c r="L1476" s="13">
        <f t="shared" si="212"/>
        <v>22.473917202151227</v>
      </c>
      <c r="M1476" s="10">
        <f t="shared" si="213"/>
        <v>0.18820291643689657</v>
      </c>
      <c r="N1476" s="10">
        <f t="shared" si="211"/>
        <v>126.98754052267692</v>
      </c>
      <c r="P1476" s="13">
        <f t="shared" si="216"/>
        <v>14.234148867561437</v>
      </c>
      <c r="Q1476" s="13">
        <f t="shared" si="217"/>
        <v>8.23976833458979</v>
      </c>
    </row>
    <row r="1477" spans="9:17" ht="12.75">
      <c r="I1477" s="2">
        <f t="shared" si="215"/>
        <v>21315</v>
      </c>
      <c r="J1477" s="13">
        <f t="shared" si="214"/>
        <v>-8.235526409077647</v>
      </c>
      <c r="K1477" s="10">
        <f t="shared" si="210"/>
        <v>175</v>
      </c>
      <c r="L1477" s="13">
        <f t="shared" si="212"/>
        <v>22.469675276639084</v>
      </c>
      <c r="M1477" s="10">
        <f t="shared" si="213"/>
        <v>0.18396099092475282</v>
      </c>
      <c r="N1477" s="10">
        <f t="shared" si="211"/>
        <v>126.99660281808923</v>
      </c>
      <c r="P1477" s="13">
        <f t="shared" si="216"/>
        <v>14.234148867561437</v>
      </c>
      <c r="Q1477" s="13">
        <f t="shared" si="217"/>
        <v>8.235526409077647</v>
      </c>
    </row>
    <row r="1478" spans="9:17" ht="12.75">
      <c r="I1478" s="2">
        <f t="shared" si="215"/>
        <v>21330</v>
      </c>
      <c r="J1478" s="13">
        <f t="shared" si="214"/>
        <v>-8.231380092774923</v>
      </c>
      <c r="K1478" s="10">
        <f t="shared" si="210"/>
        <v>175</v>
      </c>
      <c r="L1478" s="13">
        <f t="shared" si="212"/>
        <v>22.46552896033636</v>
      </c>
      <c r="M1478" s="10">
        <f t="shared" si="213"/>
        <v>-0.3916138968065539</v>
      </c>
      <c r="N1478" s="10">
        <f t="shared" si="211"/>
        <v>127.00546085746323</v>
      </c>
      <c r="P1478" s="13">
        <f t="shared" si="216"/>
        <v>14.234148867561437</v>
      </c>
      <c r="Q1478" s="13">
        <f t="shared" si="217"/>
        <v>8.231380092774923</v>
      </c>
    </row>
    <row r="1479" spans="9:17" ht="12.75">
      <c r="I1479" s="2">
        <f t="shared" si="215"/>
        <v>21345</v>
      </c>
      <c r="J1479" s="13">
        <f t="shared" si="214"/>
        <v>-8.240206719966597</v>
      </c>
      <c r="K1479" s="10">
        <f t="shared" si="210"/>
        <v>175</v>
      </c>
      <c r="L1479" s="13">
        <f t="shared" si="212"/>
        <v>22.474355587528034</v>
      </c>
      <c r="M1479" s="10">
        <f t="shared" si="213"/>
        <v>0.18864130181370342</v>
      </c>
      <c r="N1479" s="10">
        <f t="shared" si="211"/>
        <v>126.9866039720992</v>
      </c>
      <c r="P1479" s="13">
        <f t="shared" si="216"/>
        <v>14.234148867561437</v>
      </c>
      <c r="Q1479" s="13">
        <f t="shared" si="217"/>
        <v>8.240206719966597</v>
      </c>
    </row>
    <row r="1480" spans="9:17" ht="12.75">
      <c r="I1480" s="2">
        <f t="shared" si="215"/>
        <v>21360</v>
      </c>
      <c r="J1480" s="13">
        <f t="shared" si="214"/>
        <v>-8.235954913639908</v>
      </c>
      <c r="K1480" s="10">
        <f t="shared" si="210"/>
        <v>175</v>
      </c>
      <c r="L1480" s="13">
        <f t="shared" si="212"/>
        <v>22.470103781201345</v>
      </c>
      <c r="M1480" s="10">
        <f t="shared" si="213"/>
        <v>0.18438949548701444</v>
      </c>
      <c r="N1480" s="10">
        <f t="shared" si="211"/>
        <v>126.9956873765244</v>
      </c>
      <c r="P1480" s="13">
        <f t="shared" si="216"/>
        <v>14.234148867561437</v>
      </c>
      <c r="Q1480" s="13">
        <f t="shared" si="217"/>
        <v>8.235954913639908</v>
      </c>
    </row>
    <row r="1481" spans="9:17" ht="12.75">
      <c r="I1481" s="2">
        <f t="shared" si="215"/>
        <v>21375</v>
      </c>
      <c r="J1481" s="13">
        <f t="shared" si="214"/>
        <v>-8.231798939227364</v>
      </c>
      <c r="K1481" s="10">
        <f t="shared" si="210"/>
        <v>175</v>
      </c>
      <c r="L1481" s="13">
        <f t="shared" si="212"/>
        <v>22.4659478067888</v>
      </c>
      <c r="M1481" s="10">
        <f t="shared" si="213"/>
        <v>-0.3911950503541135</v>
      </c>
      <c r="N1481" s="10">
        <f t="shared" si="211"/>
        <v>127.00456604913302</v>
      </c>
      <c r="P1481" s="13">
        <f t="shared" si="216"/>
        <v>14.234148867561437</v>
      </c>
      <c r="Q1481" s="13">
        <f t="shared" si="217"/>
        <v>8.231798939227364</v>
      </c>
    </row>
    <row r="1482" spans="9:17" ht="12.75">
      <c r="I1482" s="2">
        <f t="shared" si="215"/>
        <v>21390</v>
      </c>
      <c r="J1482" s="13">
        <f t="shared" si="214"/>
        <v>-8.240616125994382</v>
      </c>
      <c r="K1482" s="10">
        <f t="shared" si="210"/>
        <v>175</v>
      </c>
      <c r="L1482" s="13">
        <f t="shared" si="212"/>
        <v>22.47476499355582</v>
      </c>
      <c r="M1482" s="10">
        <f t="shared" si="213"/>
        <v>0.18905070784148847</v>
      </c>
      <c r="N1482" s="10">
        <f t="shared" si="211"/>
        <v>126.98572933194893</v>
      </c>
      <c r="P1482" s="13">
        <f t="shared" si="216"/>
        <v>14.234148867561437</v>
      </c>
      <c r="Q1482" s="13">
        <f t="shared" si="217"/>
        <v>8.240616125994382</v>
      </c>
    </row>
    <row r="1483" spans="9:17" ht="12.75">
      <c r="I1483" s="2">
        <f t="shared" si="215"/>
        <v>21405</v>
      </c>
      <c r="J1483" s="13">
        <f t="shared" si="214"/>
        <v>-8.236355092021771</v>
      </c>
      <c r="K1483" s="10">
        <f t="shared" si="210"/>
        <v>175</v>
      </c>
      <c r="L1483" s="13">
        <f t="shared" si="212"/>
        <v>22.47050395958321</v>
      </c>
      <c r="M1483" s="10">
        <f t="shared" si="213"/>
        <v>0.18478967386887746</v>
      </c>
      <c r="N1483" s="10">
        <f t="shared" si="211"/>
        <v>126.99483244998133</v>
      </c>
      <c r="P1483" s="13">
        <f t="shared" si="216"/>
        <v>14.234148867561437</v>
      </c>
      <c r="Q1483" s="13">
        <f t="shared" si="217"/>
        <v>8.236355092021771</v>
      </c>
    </row>
    <row r="1484" spans="9:17" ht="12.75">
      <c r="I1484" s="2">
        <f t="shared" si="215"/>
        <v>21420</v>
      </c>
      <c r="J1484" s="13">
        <f t="shared" si="214"/>
        <v>-8.232190097946194</v>
      </c>
      <c r="K1484" s="10">
        <f t="shared" si="210"/>
        <v>175</v>
      </c>
      <c r="L1484" s="13">
        <f t="shared" si="212"/>
        <v>22.46633896550763</v>
      </c>
      <c r="M1484" s="10">
        <f t="shared" si="213"/>
        <v>-0.39080389163528295</v>
      </c>
      <c r="N1484" s="10">
        <f t="shared" si="211"/>
        <v>127.00373039187006</v>
      </c>
      <c r="P1484" s="13">
        <f t="shared" si="216"/>
        <v>14.234148867561437</v>
      </c>
      <c r="Q1484" s="13">
        <f t="shared" si="217"/>
        <v>8.232190097946194</v>
      </c>
    </row>
    <row r="1485" spans="9:17" ht="12.75">
      <c r="I1485" s="2">
        <f t="shared" si="215"/>
        <v>21435</v>
      </c>
      <c r="J1485" s="13">
        <f t="shared" si="214"/>
        <v>-8.240998468345332</v>
      </c>
      <c r="K1485" s="10">
        <f t="shared" si="210"/>
        <v>175</v>
      </c>
      <c r="L1485" s="13">
        <f t="shared" si="212"/>
        <v>22.47514733590677</v>
      </c>
      <c r="M1485" s="10">
        <f t="shared" si="213"/>
        <v>0.18943305019243795</v>
      </c>
      <c r="N1485" s="10">
        <f t="shared" si="211"/>
        <v>126.98491250965373</v>
      </c>
      <c r="P1485" s="13">
        <f t="shared" si="216"/>
        <v>14.234148867561437</v>
      </c>
      <c r="Q1485" s="13">
        <f t="shared" si="217"/>
        <v>8.240998468345332</v>
      </c>
    </row>
    <row r="1486" spans="9:17" ht="12.75">
      <c r="I1486" s="2">
        <f t="shared" si="215"/>
        <v>21450</v>
      </c>
      <c r="J1486" s="13">
        <f t="shared" si="214"/>
        <v>-8.23672881671789</v>
      </c>
      <c r="K1486" s="10">
        <f t="shared" si="210"/>
        <v>175</v>
      </c>
      <c r="L1486" s="13">
        <f t="shared" si="212"/>
        <v>22.470877684279326</v>
      </c>
      <c r="M1486" s="10">
        <f t="shared" si="213"/>
        <v>0.18516339856499542</v>
      </c>
      <c r="N1486" s="10">
        <f t="shared" si="211"/>
        <v>126.99403403813054</v>
      </c>
      <c r="P1486" s="13">
        <f t="shared" si="216"/>
        <v>14.234148867561437</v>
      </c>
      <c r="Q1486" s="13">
        <f t="shared" si="217"/>
        <v>8.23672881671789</v>
      </c>
    </row>
    <row r="1487" spans="9:17" ht="12.75">
      <c r="I1487" s="2">
        <f t="shared" si="215"/>
        <v>21465</v>
      </c>
      <c r="J1487" s="13">
        <f t="shared" si="214"/>
        <v>-8.232555399221713</v>
      </c>
      <c r="K1487" s="10">
        <f aca="true" t="shared" si="218" ref="K1487:K1540">MAX(D$8,K1486+J1486*I$41/VLOOKUP(K1486,E$44:G$251,3,TRUE))</f>
        <v>175</v>
      </c>
      <c r="L1487" s="13">
        <f t="shared" si="212"/>
        <v>22.46670426678315</v>
      </c>
      <c r="M1487" s="10">
        <f t="shared" si="213"/>
        <v>-0.39043859035976425</v>
      </c>
      <c r="N1487" s="10">
        <f aca="true" t="shared" si="219" ref="N1487:N1540">N1486+M1486*I$41/VLOOKUP(N1486,A$44:C$251,3,TRUE)</f>
        <v>127.00294997550873</v>
      </c>
      <c r="P1487" s="13">
        <f t="shared" si="216"/>
        <v>14.234148867561437</v>
      </c>
      <c r="Q1487" s="13">
        <f t="shared" si="217"/>
        <v>8.232555399221713</v>
      </c>
    </row>
    <row r="1488" spans="9:17" ht="12.75">
      <c r="I1488" s="2">
        <f t="shared" si="215"/>
        <v>21480</v>
      </c>
      <c r="J1488" s="13">
        <f t="shared" si="214"/>
        <v>-8.24135553605662</v>
      </c>
      <c r="K1488" s="10">
        <f t="shared" si="218"/>
        <v>175</v>
      </c>
      <c r="L1488" s="13">
        <f t="shared" si="212"/>
        <v>22.475504403618057</v>
      </c>
      <c r="M1488" s="10">
        <f t="shared" si="213"/>
        <v>0.18979011790372624</v>
      </c>
      <c r="N1488" s="10">
        <f t="shared" si="219"/>
        <v>126.98414968317961</v>
      </c>
      <c r="P1488" s="13">
        <f t="shared" si="216"/>
        <v>14.234148867561437</v>
      </c>
      <c r="Q1488" s="13">
        <f t="shared" si="217"/>
        <v>8.24135553605662</v>
      </c>
    </row>
    <row r="1489" spans="9:17" ht="12.75">
      <c r="I1489" s="2">
        <f t="shared" si="215"/>
        <v>21495</v>
      </c>
      <c r="J1489" s="13">
        <f t="shared" si="214"/>
        <v>-8.237077836442122</v>
      </c>
      <c r="K1489" s="10">
        <f t="shared" si="218"/>
        <v>175</v>
      </c>
      <c r="L1489" s="13">
        <f t="shared" si="212"/>
        <v>22.47122670400356</v>
      </c>
      <c r="M1489" s="10">
        <f t="shared" si="213"/>
        <v>0.18551241828922826</v>
      </c>
      <c r="N1489" s="13">
        <f t="shared" si="219"/>
        <v>126.9932884050833</v>
      </c>
      <c r="P1489" s="13">
        <f t="shared" si="216"/>
        <v>14.234148867561437</v>
      </c>
      <c r="Q1489" s="13">
        <f t="shared" si="217"/>
        <v>8.237077836442122</v>
      </c>
    </row>
    <row r="1490" spans="9:17" ht="12.75">
      <c r="I1490" s="2">
        <f t="shared" si="215"/>
        <v>21510</v>
      </c>
      <c r="J1490" s="13">
        <f t="shared" si="214"/>
        <v>-8.232896552353335</v>
      </c>
      <c r="K1490" s="10">
        <f t="shared" si="218"/>
        <v>175</v>
      </c>
      <c r="L1490" s="13">
        <f t="shared" si="212"/>
        <v>22.467045419914772</v>
      </c>
      <c r="M1490" s="10">
        <f t="shared" si="213"/>
        <v>-0.3900974372281425</v>
      </c>
      <c r="N1490" s="13">
        <f t="shared" si="219"/>
        <v>127.0022211483639</v>
      </c>
      <c r="P1490" s="13">
        <f t="shared" si="216"/>
        <v>14.234148867561437</v>
      </c>
      <c r="Q1490" s="13">
        <f t="shared" si="217"/>
        <v>8.232896552353335</v>
      </c>
    </row>
    <row r="1491" spans="9:17" ht="12.75">
      <c r="I1491" s="2">
        <f t="shared" si="215"/>
        <v>21525</v>
      </c>
      <c r="J1491" s="13">
        <f t="shared" si="214"/>
        <v>-8.24168899990159</v>
      </c>
      <c r="K1491" s="10">
        <f t="shared" si="218"/>
        <v>175</v>
      </c>
      <c r="L1491" s="13">
        <f t="shared" si="212"/>
        <v>22.475837867463028</v>
      </c>
      <c r="M1491" s="10">
        <f t="shared" si="213"/>
        <v>0.19012358174869703</v>
      </c>
      <c r="N1491" s="13">
        <f t="shared" si="219"/>
        <v>126.98343728314717</v>
      </c>
      <c r="P1491" s="13">
        <f t="shared" si="216"/>
        <v>14.234148867561437</v>
      </c>
      <c r="Q1491" s="13">
        <f t="shared" si="217"/>
        <v>8.24168899990159</v>
      </c>
    </row>
    <row r="1492" spans="9:17" ht="12.75">
      <c r="I1492" s="2">
        <f t="shared" si="215"/>
        <v>21540</v>
      </c>
      <c r="J1492" s="13">
        <f t="shared" si="214"/>
        <v>-8.2374037843101</v>
      </c>
      <c r="K1492" s="10">
        <f t="shared" si="218"/>
        <v>175</v>
      </c>
      <c r="L1492" s="13">
        <f t="shared" si="212"/>
        <v>22.471552651871537</v>
      </c>
      <c r="M1492" s="10">
        <f t="shared" si="213"/>
        <v>0.18583836615720628</v>
      </c>
      <c r="N1492" s="13">
        <f t="shared" si="219"/>
        <v>126.99259206191081</v>
      </c>
      <c r="P1492" s="13">
        <f t="shared" si="216"/>
        <v>14.234148867561437</v>
      </c>
      <c r="Q1492" s="13">
        <f t="shared" si="217"/>
        <v>8.2374037843101</v>
      </c>
    </row>
    <row r="1493" spans="9:17" ht="12.75">
      <c r="I1493" s="2">
        <f t="shared" si="215"/>
        <v>21555</v>
      </c>
      <c r="J1493" s="13">
        <f t="shared" si="214"/>
        <v>-8.233215153647713</v>
      </c>
      <c r="K1493" s="10">
        <f t="shared" si="218"/>
        <v>175</v>
      </c>
      <c r="L1493" s="13">
        <f t="shared" si="212"/>
        <v>22.46736402120915</v>
      </c>
      <c r="M1493" s="10">
        <f t="shared" si="213"/>
        <v>-0.3897788359337646</v>
      </c>
      <c r="N1493" s="13">
        <f t="shared" si="219"/>
        <v>127.00154050014409</v>
      </c>
      <c r="P1493" s="13">
        <f t="shared" si="216"/>
        <v>14.234148867561437</v>
      </c>
      <c r="Q1493" s="13">
        <f t="shared" si="217"/>
        <v>8.233215153647713</v>
      </c>
    </row>
    <row r="1494" spans="9:17" ht="12.75">
      <c r="I1494" s="2">
        <f t="shared" si="215"/>
        <v>21570</v>
      </c>
      <c r="J1494" s="13">
        <f t="shared" si="214"/>
        <v>-8.242000420207582</v>
      </c>
      <c r="K1494" s="10">
        <f t="shared" si="218"/>
        <v>175</v>
      </c>
      <c r="L1494" s="13">
        <f t="shared" si="212"/>
        <v>22.47614928776902</v>
      </c>
      <c r="M1494" s="10">
        <f t="shared" si="213"/>
        <v>0.19043500205468789</v>
      </c>
      <c r="N1494" s="13">
        <f t="shared" si="219"/>
        <v>126.98277197612983</v>
      </c>
      <c r="P1494" s="13">
        <f t="shared" si="216"/>
        <v>14.234148867561437</v>
      </c>
      <c r="Q1494" s="13">
        <f t="shared" si="217"/>
        <v>8.242000420207582</v>
      </c>
    </row>
    <row r="1495" spans="9:17" ht="12.75">
      <c r="I1495" s="2">
        <f t="shared" si="215"/>
        <v>21585</v>
      </c>
      <c r="J1495" s="13">
        <f t="shared" si="214"/>
        <v>-8.237708185480749</v>
      </c>
      <c r="K1495" s="10">
        <f t="shared" si="218"/>
        <v>175</v>
      </c>
      <c r="L1495" s="13">
        <f t="shared" si="212"/>
        <v>22.471857053042186</v>
      </c>
      <c r="M1495" s="10">
        <f t="shared" si="213"/>
        <v>0.18614276732785484</v>
      </c>
      <c r="N1495" s="13">
        <f t="shared" si="219"/>
        <v>126.99194175031897</v>
      </c>
      <c r="P1495" s="13">
        <f t="shared" si="216"/>
        <v>14.234148867561437</v>
      </c>
      <c r="Q1495" s="13">
        <f t="shared" si="217"/>
        <v>8.237708185480749</v>
      </c>
    </row>
    <row r="1496" spans="9:17" ht="12.75">
      <c r="I1496" s="2">
        <f t="shared" si="215"/>
        <v>21600</v>
      </c>
      <c r="J1496" s="13">
        <f t="shared" si="214"/>
        <v>-8.233512693888063</v>
      </c>
      <c r="K1496" s="10">
        <f t="shared" si="218"/>
        <v>175</v>
      </c>
      <c r="L1496" s="13">
        <f t="shared" si="212"/>
        <v>22.4676615614495</v>
      </c>
      <c r="M1496" s="10">
        <f t="shared" si="213"/>
        <v>-0.3894812956934146</v>
      </c>
      <c r="N1496" s="13">
        <f t="shared" si="219"/>
        <v>127.00090484599426</v>
      </c>
      <c r="P1496" s="13">
        <f t="shared" si="216"/>
        <v>14.234148867561437</v>
      </c>
      <c r="Q1496" s="13">
        <f t="shared" si="217"/>
        <v>8.233512693888063</v>
      </c>
    </row>
    <row r="1497" spans="9:17" ht="12.75">
      <c r="I1497" s="2">
        <f t="shared" si="215"/>
        <v>21615</v>
      </c>
      <c r="J1497" s="13">
        <f t="shared" si="214"/>
        <v>-8.24229125415686</v>
      </c>
      <c r="K1497" s="10">
        <f t="shared" si="218"/>
        <v>175</v>
      </c>
      <c r="L1497" s="13">
        <f t="shared" si="212"/>
        <v>22.476440121718298</v>
      </c>
      <c r="M1497" s="10">
        <f t="shared" si="213"/>
        <v>0.19072583600396698</v>
      </c>
      <c r="N1497" s="13">
        <f t="shared" si="219"/>
        <v>126.98215064905636</v>
      </c>
      <c r="P1497" s="13">
        <f t="shared" si="216"/>
        <v>14.234148867561437</v>
      </c>
      <c r="Q1497" s="13">
        <f t="shared" si="217"/>
        <v>8.24229125415686</v>
      </c>
    </row>
    <row r="1498" spans="9:17" ht="12.75">
      <c r="I1498" s="2">
        <f t="shared" si="215"/>
        <v>21630</v>
      </c>
      <c r="J1498" s="13">
        <f t="shared" si="214"/>
        <v>-8.237992464292777</v>
      </c>
      <c r="K1498" s="10">
        <f t="shared" si="218"/>
        <v>175</v>
      </c>
      <c r="L1498" s="13">
        <f t="shared" si="212"/>
        <v>22.472141331854214</v>
      </c>
      <c r="M1498" s="10">
        <f t="shared" si="213"/>
        <v>0.18642704613988315</v>
      </c>
      <c r="N1498" s="13">
        <f t="shared" si="219"/>
        <v>126.99133442740236</v>
      </c>
      <c r="P1498" s="13">
        <f t="shared" si="216"/>
        <v>14.234148867561437</v>
      </c>
      <c r="Q1498" s="13">
        <f t="shared" si="217"/>
        <v>8.237992464292777</v>
      </c>
    </row>
    <row r="1499" spans="9:17" ht="12.75">
      <c r="I1499" s="2">
        <f t="shared" si="215"/>
        <v>21645</v>
      </c>
      <c r="J1499" s="13">
        <f t="shared" si="214"/>
        <v>-8.233790565309771</v>
      </c>
      <c r="K1499" s="10">
        <f t="shared" si="218"/>
        <v>175</v>
      </c>
      <c r="L1499" s="13">
        <f t="shared" si="212"/>
        <v>22.46793943287121</v>
      </c>
      <c r="M1499" s="10">
        <f t="shared" si="213"/>
        <v>-0.38920342427170596</v>
      </c>
      <c r="N1499" s="13">
        <f t="shared" si="219"/>
        <v>127.00031121159333</v>
      </c>
      <c r="P1499" s="13">
        <f t="shared" si="216"/>
        <v>14.234148867561437</v>
      </c>
      <c r="Q1499" s="13">
        <f t="shared" si="217"/>
        <v>8.233790565309771</v>
      </c>
    </row>
    <row r="1500" spans="9:17" ht="12.75">
      <c r="I1500" s="2">
        <f t="shared" si="215"/>
        <v>21660</v>
      </c>
      <c r="J1500" s="13">
        <f t="shared" si="214"/>
        <v>-8.242562862605105</v>
      </c>
      <c r="K1500" s="10">
        <f t="shared" si="218"/>
        <v>175</v>
      </c>
      <c r="L1500" s="13">
        <f t="shared" si="212"/>
        <v>22.476711730166542</v>
      </c>
      <c r="M1500" s="10">
        <f t="shared" si="213"/>
        <v>0.19099744445221134</v>
      </c>
      <c r="N1500" s="13">
        <f t="shared" si="219"/>
        <v>126.98157039464421</v>
      </c>
      <c r="P1500" s="13">
        <f t="shared" si="216"/>
        <v>14.234148867561437</v>
      </c>
      <c r="Q1500" s="13">
        <f t="shared" si="217"/>
        <v>8.242562862605105</v>
      </c>
    </row>
    <row r="1501" spans="9:17" ht="12.75">
      <c r="I1501" s="2">
        <f t="shared" si="215"/>
        <v>21675</v>
      </c>
      <c r="J1501" s="13">
        <f t="shared" si="214"/>
        <v>-8.238257950929366</v>
      </c>
      <c r="K1501" s="10">
        <f t="shared" si="218"/>
        <v>175</v>
      </c>
      <c r="L1501" s="13">
        <f t="shared" si="212"/>
        <v>22.472406818490803</v>
      </c>
      <c r="M1501" s="10">
        <f t="shared" si="213"/>
        <v>0.18669253277647258</v>
      </c>
      <c r="N1501" s="13">
        <f t="shared" si="219"/>
        <v>126.99076725140601</v>
      </c>
      <c r="P1501" s="13">
        <f t="shared" si="216"/>
        <v>14.234148867561437</v>
      </c>
      <c r="Q1501" s="13">
        <f t="shared" si="217"/>
        <v>8.238257950929366</v>
      </c>
    </row>
    <row r="1502" spans="9:17" ht="12.75">
      <c r="I1502" s="2">
        <f t="shared" si="215"/>
        <v>21690</v>
      </c>
      <c r="J1502" s="13">
        <f t="shared" si="214"/>
        <v>-8.234050068114879</v>
      </c>
      <c r="K1502" s="10">
        <f t="shared" si="218"/>
        <v>175</v>
      </c>
      <c r="L1502" s="13">
        <f t="shared" si="212"/>
        <v>22.468198935676316</v>
      </c>
      <c r="M1502" s="10">
        <f t="shared" si="213"/>
        <v>0.1824846499619852</v>
      </c>
      <c r="N1502" s="13">
        <f t="shared" si="219"/>
        <v>126.99975681923696</v>
      </c>
      <c r="P1502" s="13">
        <f t="shared" si="216"/>
        <v>14.234148867561437</v>
      </c>
      <c r="Q1502" s="13">
        <f t="shared" si="217"/>
        <v>8.234050068114879</v>
      </c>
    </row>
    <row r="1503" spans="9:17" ht="12.75">
      <c r="I1503" s="2">
        <f t="shared" si="215"/>
        <v>21705</v>
      </c>
      <c r="J1503" s="13">
        <f t="shared" si="214"/>
        <v>-8.229937027217826</v>
      </c>
      <c r="K1503" s="10">
        <f t="shared" si="218"/>
        <v>175</v>
      </c>
      <c r="L1503" s="13">
        <f t="shared" si="212"/>
        <v>22.464085894779263</v>
      </c>
      <c r="M1503" s="10">
        <f t="shared" si="213"/>
        <v>-0.3930569623636515</v>
      </c>
      <c r="N1503" s="13">
        <f t="shared" si="219"/>
        <v>127.0085437702443</v>
      </c>
      <c r="P1503" s="13">
        <f t="shared" si="216"/>
        <v>14.234148867561437</v>
      </c>
      <c r="Q1503" s="13">
        <f t="shared" si="217"/>
        <v>8.229937027217826</v>
      </c>
    </row>
    <row r="1504" spans="9:17" ht="12.75">
      <c r="I1504" s="2">
        <f t="shared" si="215"/>
        <v>21720</v>
      </c>
      <c r="J1504" s="13">
        <f t="shared" si="214"/>
        <v>-8.238796179817282</v>
      </c>
      <c r="K1504" s="10">
        <f t="shared" si="218"/>
        <v>175</v>
      </c>
      <c r="L1504" s="13">
        <f t="shared" si="212"/>
        <v>22.47294504737872</v>
      </c>
      <c r="M1504" s="10">
        <f t="shared" si="213"/>
        <v>0.187230761664388</v>
      </c>
      <c r="N1504" s="10">
        <f t="shared" si="219"/>
        <v>126.98961739878183</v>
      </c>
      <c r="P1504" s="13">
        <f t="shared" si="216"/>
        <v>14.234148867561437</v>
      </c>
      <c r="Q1504" s="13">
        <f t="shared" si="217"/>
        <v>8.238796179817282</v>
      </c>
    </row>
    <row r="1505" spans="9:17" ht="12.75">
      <c r="I1505" s="2">
        <f t="shared" si="215"/>
        <v>21735</v>
      </c>
      <c r="J1505" s="13">
        <f t="shared" si="214"/>
        <v>-8.234576165804754</v>
      </c>
      <c r="K1505" s="10">
        <f t="shared" si="218"/>
        <v>175</v>
      </c>
      <c r="L1505" s="13">
        <f t="shared" si="212"/>
        <v>22.46872503336619</v>
      </c>
      <c r="M1505" s="10">
        <f t="shared" si="213"/>
        <v>0.18301074765185987</v>
      </c>
      <c r="N1505" s="10">
        <f t="shared" si="219"/>
        <v>126.99863288326314</v>
      </c>
      <c r="P1505" s="13">
        <f t="shared" si="216"/>
        <v>14.234148867561437</v>
      </c>
      <c r="Q1505" s="13">
        <f t="shared" si="217"/>
        <v>8.234576165804754</v>
      </c>
    </row>
    <row r="1506" spans="9:17" ht="12.75">
      <c r="I1506" s="2">
        <f t="shared" si="215"/>
        <v>21750</v>
      </c>
      <c r="J1506" s="13">
        <f t="shared" si="214"/>
        <v>-8.230451267136022</v>
      </c>
      <c r="K1506" s="10">
        <f t="shared" si="218"/>
        <v>175</v>
      </c>
      <c r="L1506" s="13">
        <f t="shared" si="212"/>
        <v>22.46460013469746</v>
      </c>
      <c r="M1506" s="10">
        <f t="shared" si="213"/>
        <v>-0.3925427224454552</v>
      </c>
      <c r="N1506" s="10">
        <f t="shared" si="219"/>
        <v>127.0074451667827</v>
      </c>
      <c r="P1506" s="13">
        <f t="shared" si="216"/>
        <v>14.234148867561437</v>
      </c>
      <c r="Q1506" s="13">
        <f t="shared" si="217"/>
        <v>8.230451267136022</v>
      </c>
    </row>
    <row r="1507" spans="9:17" ht="12.75">
      <c r="I1507" s="2">
        <f t="shared" si="215"/>
        <v>21765</v>
      </c>
      <c r="J1507" s="13">
        <f t="shared" si="214"/>
        <v>-8.239298829227376</v>
      </c>
      <c r="K1507" s="10">
        <f t="shared" si="218"/>
        <v>175</v>
      </c>
      <c r="L1507" s="13">
        <f t="shared" si="212"/>
        <v>22.473447696788813</v>
      </c>
      <c r="M1507" s="10">
        <f t="shared" si="213"/>
        <v>0.1877334110744826</v>
      </c>
      <c r="N1507" s="10">
        <f t="shared" si="219"/>
        <v>126.98854355686026</v>
      </c>
      <c r="P1507" s="13">
        <f t="shared" si="216"/>
        <v>14.234148867561437</v>
      </c>
      <c r="Q1507" s="13">
        <f t="shared" si="217"/>
        <v>8.239298829227376</v>
      </c>
    </row>
    <row r="1508" spans="9:17" ht="12.75">
      <c r="I1508" s="2">
        <f t="shared" si="215"/>
        <v>21780</v>
      </c>
      <c r="J1508" s="13">
        <f t="shared" si="214"/>
        <v>-8.235067485946434</v>
      </c>
      <c r="K1508" s="10">
        <f t="shared" si="218"/>
        <v>175</v>
      </c>
      <c r="L1508" s="13">
        <f t="shared" si="212"/>
        <v>22.46921635350787</v>
      </c>
      <c r="M1508" s="10">
        <f t="shared" si="213"/>
        <v>0.1835020677935404</v>
      </c>
      <c r="N1508" s="10">
        <f t="shared" si="219"/>
        <v>126.99758324477864</v>
      </c>
      <c r="P1508" s="13">
        <f t="shared" si="216"/>
        <v>14.234148867561437</v>
      </c>
      <c r="Q1508" s="13">
        <f t="shared" si="217"/>
        <v>8.235067485946434</v>
      </c>
    </row>
    <row r="1509" spans="9:17" ht="12.75">
      <c r="I1509" s="2">
        <f t="shared" si="215"/>
        <v>21795</v>
      </c>
      <c r="J1509" s="13">
        <f t="shared" si="214"/>
        <v>-8.23093151336088</v>
      </c>
      <c r="K1509" s="10">
        <f t="shared" si="218"/>
        <v>175</v>
      </c>
      <c r="L1509" s="13">
        <f t="shared" si="212"/>
        <v>22.465080380922316</v>
      </c>
      <c r="M1509" s="10">
        <f t="shared" si="213"/>
        <v>-0.3920624762205982</v>
      </c>
      <c r="N1509" s="10">
        <f t="shared" si="219"/>
        <v>127.00641918621142</v>
      </c>
      <c r="P1509" s="13">
        <f t="shared" si="216"/>
        <v>14.234148867561437</v>
      </c>
      <c r="Q1509" s="13">
        <f t="shared" si="217"/>
        <v>8.23093151336088</v>
      </c>
    </row>
    <row r="1510" spans="9:17" ht="12.75">
      <c r="I1510" s="2">
        <f t="shared" si="215"/>
        <v>21810</v>
      </c>
      <c r="J1510" s="13">
        <f t="shared" si="214"/>
        <v>-8.239768251131586</v>
      </c>
      <c r="K1510" s="10">
        <f t="shared" si="218"/>
        <v>175</v>
      </c>
      <c r="L1510" s="13">
        <f t="shared" si="212"/>
        <v>22.473917118693024</v>
      </c>
      <c r="M1510" s="10">
        <f t="shared" si="213"/>
        <v>0.18820283297869267</v>
      </c>
      <c r="N1510" s="10">
        <f t="shared" si="219"/>
        <v>126.987540700974</v>
      </c>
      <c r="P1510" s="13">
        <f t="shared" si="216"/>
        <v>14.234148867561437</v>
      </c>
      <c r="Q1510" s="13">
        <f t="shared" si="217"/>
        <v>8.239768251131586</v>
      </c>
    </row>
    <row r="1511" spans="9:17" ht="12.75">
      <c r="I1511" s="2">
        <f t="shared" si="215"/>
        <v>21825</v>
      </c>
      <c r="J1511" s="13">
        <f t="shared" si="214"/>
        <v>-8.235526327500512</v>
      </c>
      <c r="K1511" s="10">
        <f t="shared" si="218"/>
        <v>175</v>
      </c>
      <c r="L1511" s="13">
        <f t="shared" si="212"/>
        <v>22.46967519506195</v>
      </c>
      <c r="M1511" s="10">
        <f t="shared" si="213"/>
        <v>0.18396090934761844</v>
      </c>
      <c r="N1511" s="10">
        <f t="shared" si="219"/>
        <v>126.99660299236766</v>
      </c>
      <c r="P1511" s="13">
        <f t="shared" si="216"/>
        <v>14.234148867561437</v>
      </c>
      <c r="Q1511" s="13">
        <f t="shared" si="217"/>
        <v>8.235526327500512</v>
      </c>
    </row>
    <row r="1512" spans="9:17" ht="12.75">
      <c r="I1512" s="2">
        <f t="shared" si="215"/>
        <v>21840</v>
      </c>
      <c r="J1512" s="13">
        <f t="shared" si="214"/>
        <v>-8.231380013036464</v>
      </c>
      <c r="K1512" s="10">
        <f t="shared" si="218"/>
        <v>175</v>
      </c>
      <c r="L1512" s="13">
        <f t="shared" si="212"/>
        <v>22.4655288805979</v>
      </c>
      <c r="M1512" s="10">
        <f t="shared" si="213"/>
        <v>-0.3916139765450133</v>
      </c>
      <c r="N1512" s="10">
        <f t="shared" si="219"/>
        <v>127.00546102781358</v>
      </c>
      <c r="P1512" s="13">
        <f t="shared" si="216"/>
        <v>14.234148867561437</v>
      </c>
      <c r="Q1512" s="13">
        <f t="shared" si="217"/>
        <v>8.231380013036464</v>
      </c>
    </row>
    <row r="1513" spans="9:17" ht="12.75">
      <c r="I1513" s="2">
        <f t="shared" si="215"/>
        <v>21855</v>
      </c>
      <c r="J1513" s="13">
        <f t="shared" si="214"/>
        <v>-8.24020664202537</v>
      </c>
      <c r="K1513" s="10">
        <f t="shared" si="218"/>
        <v>175</v>
      </c>
      <c r="L1513" s="13">
        <f t="shared" si="212"/>
        <v>22.474355509586807</v>
      </c>
      <c r="M1513" s="10">
        <f t="shared" si="213"/>
        <v>0.18864122387247662</v>
      </c>
      <c r="N1513" s="10">
        <f t="shared" si="219"/>
        <v>126.98660413861</v>
      </c>
      <c r="P1513" s="13">
        <f t="shared" si="216"/>
        <v>14.234148867561437</v>
      </c>
      <c r="Q1513" s="13">
        <f t="shared" si="217"/>
        <v>8.24020664202537</v>
      </c>
    </row>
    <row r="1514" spans="9:17" ht="12.75">
      <c r="I1514" s="2">
        <f t="shared" si="215"/>
        <v>21870</v>
      </c>
      <c r="J1514" s="13">
        <f t="shared" si="214"/>
        <v>-8.235954837455406</v>
      </c>
      <c r="K1514" s="10">
        <f t="shared" si="218"/>
        <v>175</v>
      </c>
      <c r="L1514" s="13">
        <f t="shared" si="212"/>
        <v>22.470103705016843</v>
      </c>
      <c r="M1514" s="10">
        <f t="shared" si="213"/>
        <v>0.18438941930251218</v>
      </c>
      <c r="N1514" s="10">
        <f t="shared" si="219"/>
        <v>126.9956875392822</v>
      </c>
      <c r="P1514" s="13">
        <f t="shared" si="216"/>
        <v>14.234148867561437</v>
      </c>
      <c r="Q1514" s="13">
        <f t="shared" si="217"/>
        <v>8.235954837455406</v>
      </c>
    </row>
    <row r="1515" spans="9:17" ht="12.75">
      <c r="I1515" s="2">
        <f t="shared" si="215"/>
        <v>21885</v>
      </c>
      <c r="J1515" s="13">
        <f t="shared" si="214"/>
        <v>-8.231798864759995</v>
      </c>
      <c r="K1515" s="10">
        <f t="shared" si="218"/>
        <v>175</v>
      </c>
      <c r="L1515" s="13">
        <f t="shared" si="212"/>
        <v>22.465947732321432</v>
      </c>
      <c r="M1515" s="10">
        <f t="shared" si="213"/>
        <v>-0.39119512482148266</v>
      </c>
      <c r="N1515" s="10">
        <f t="shared" si="219"/>
        <v>127.0045662082224</v>
      </c>
      <c r="P1515" s="13">
        <f t="shared" si="216"/>
        <v>14.234148867561437</v>
      </c>
      <c r="Q1515" s="13">
        <f t="shared" si="217"/>
        <v>8.231798864759995</v>
      </c>
    </row>
    <row r="1516" spans="9:17" ht="12.75">
      <c r="I1516" s="2">
        <f t="shared" si="215"/>
        <v>21900</v>
      </c>
      <c r="J1516" s="13">
        <f t="shared" si="214"/>
        <v>-8.240616053205443</v>
      </c>
      <c r="K1516" s="10">
        <f t="shared" si="218"/>
        <v>175</v>
      </c>
      <c r="L1516" s="13">
        <f>(K1516-N1516)/D$12</f>
        <v>22.47476492076688</v>
      </c>
      <c r="M1516" s="10">
        <f t="shared" si="213"/>
        <v>0.18905063505254915</v>
      </c>
      <c r="N1516" s="10">
        <f t="shared" si="219"/>
        <v>126.98572948745257</v>
      </c>
      <c r="P1516" s="13">
        <f t="shared" si="216"/>
        <v>14.234148867561437</v>
      </c>
      <c r="Q1516" s="13">
        <f t="shared" si="217"/>
        <v>8.240616053205443</v>
      </c>
    </row>
    <row r="1517" spans="9:17" ht="12.75">
      <c r="I1517" s="2">
        <f t="shared" si="215"/>
        <v>21915</v>
      </c>
      <c r="J1517" s="13">
        <f t="shared" si="214"/>
        <v>-8.236355020873432</v>
      </c>
      <c r="K1517" s="10">
        <f t="shared" si="218"/>
        <v>175</v>
      </c>
      <c r="L1517" s="13">
        <f>(K1517-N1517)/D$12</f>
        <v>22.47050388843487</v>
      </c>
      <c r="M1517" s="10">
        <f t="shared" si="213"/>
        <v>0.18478960272053868</v>
      </c>
      <c r="N1517" s="10">
        <f t="shared" si="219"/>
        <v>126.99483260198005</v>
      </c>
      <c r="P1517" s="13">
        <f t="shared" si="216"/>
        <v>14.234148867561437</v>
      </c>
      <c r="Q1517" s="13">
        <f t="shared" si="217"/>
        <v>8.236355020873432</v>
      </c>
    </row>
    <row r="1518" spans="9:17" ht="12.75">
      <c r="I1518" s="2">
        <f t="shared" si="215"/>
        <v>21930</v>
      </c>
      <c r="J1518" s="13">
        <f t="shared" si="214"/>
        <v>-8.23219002840148</v>
      </c>
      <c r="K1518" s="10">
        <f t="shared" si="218"/>
        <v>175</v>
      </c>
      <c r="L1518" s="13">
        <f>(K1518-N1518)/D$12</f>
        <v>22.466338895962917</v>
      </c>
      <c r="M1518" s="10">
        <f aca="true" t="shared" si="220" ref="M1518:M1540">L1518-VLOOKUP(N1518,A$44:C$251,2,TRUE)</f>
        <v>-0.3908039611799978</v>
      </c>
      <c r="N1518" s="10">
        <f t="shared" si="219"/>
        <v>127.00373054044286</v>
      </c>
      <c r="P1518" s="13">
        <f t="shared" si="216"/>
        <v>14.234148867561437</v>
      </c>
      <c r="Q1518" s="13">
        <f t="shared" si="217"/>
        <v>8.23219002840148</v>
      </c>
    </row>
    <row r="1519" spans="9:17" ht="12.75">
      <c r="I1519" s="2">
        <f t="shared" si="215"/>
        <v>21945</v>
      </c>
      <c r="J1519" s="13">
        <f t="shared" si="214"/>
        <v>-8.240998400368088</v>
      </c>
      <c r="K1519" s="10">
        <f t="shared" si="218"/>
        <v>175</v>
      </c>
      <c r="L1519" s="13">
        <f>(K1519-N1519)/D$12</f>
        <v>22.475147267929525</v>
      </c>
      <c r="M1519" s="10">
        <f t="shared" si="220"/>
        <v>0.18943298221519456</v>
      </c>
      <c r="N1519" s="10">
        <f t="shared" si="219"/>
        <v>126.98491265487783</v>
      </c>
      <c r="P1519" s="13">
        <f t="shared" si="216"/>
        <v>14.234148867561437</v>
      </c>
      <c r="Q1519" s="13">
        <f t="shared" si="217"/>
        <v>8.240998400368088</v>
      </c>
    </row>
    <row r="1520" spans="9:17" ht="12.75">
      <c r="I1520" s="2">
        <f t="shared" si="215"/>
        <v>21960</v>
      </c>
      <c r="J1520" s="13">
        <f t="shared" si="214"/>
        <v>-8.236728750272789</v>
      </c>
      <c r="K1520" s="10">
        <f t="shared" si="218"/>
        <v>175</v>
      </c>
      <c r="L1520" s="13">
        <f>(K1520-N1520)/D$12</f>
        <v>22.470877617834226</v>
      </c>
      <c r="M1520" s="10">
        <f t="shared" si="220"/>
        <v>0.18516333211989533</v>
      </c>
      <c r="N1520" s="10">
        <f t="shared" si="219"/>
        <v>126.99403418008143</v>
      </c>
      <c r="P1520" s="13">
        <f t="shared" si="216"/>
        <v>14.234148867561437</v>
      </c>
      <c r="Q1520" s="13">
        <f t="shared" si="217"/>
        <v>8.236728750272789</v>
      </c>
    </row>
    <row r="1521" spans="9:17" ht="12.75">
      <c r="I1521" s="2">
        <f t="shared" si="215"/>
        <v>21975</v>
      </c>
      <c r="J1521" s="13">
        <f t="shared" si="214"/>
        <v>-8.232555334274227</v>
      </c>
      <c r="K1521" s="10">
        <f t="shared" si="218"/>
        <v>175</v>
      </c>
      <c r="L1521" s="13">
        <f>(K1521-N1521)/D$12</f>
        <v>22.466704201835665</v>
      </c>
      <c r="M1521" s="10">
        <f t="shared" si="220"/>
        <v>-0.39043865530724986</v>
      </c>
      <c r="N1521" s="10">
        <f t="shared" si="219"/>
        <v>127.00295011426017</v>
      </c>
      <c r="P1521" s="13">
        <f t="shared" si="216"/>
        <v>14.234148867561437</v>
      </c>
      <c r="Q1521" s="13">
        <f t="shared" si="217"/>
        <v>8.232555334274227</v>
      </c>
    </row>
    <row r="1522" spans="9:17" ht="12.75">
      <c r="I1522" s="2">
        <f t="shared" si="215"/>
        <v>21990</v>
      </c>
      <c r="J1522" s="13">
        <f t="shared" si="214"/>
        <v>-8.241355472572995</v>
      </c>
      <c r="K1522" s="10">
        <f t="shared" si="218"/>
        <v>175</v>
      </c>
      <c r="L1522" s="13">
        <f>(K1522-N1522)/D$12</f>
        <v>22.47550434013443</v>
      </c>
      <c r="M1522" s="10">
        <f t="shared" si="220"/>
        <v>0.18979005442010077</v>
      </c>
      <c r="N1522" s="10">
        <f t="shared" si="219"/>
        <v>126.98414981880371</v>
      </c>
      <c r="P1522" s="13">
        <f t="shared" si="216"/>
        <v>14.234148867561437</v>
      </c>
      <c r="Q1522" s="13">
        <f t="shared" si="217"/>
        <v>8.241355472572995</v>
      </c>
    </row>
    <row r="1523" spans="9:17" ht="12.75">
      <c r="I1523" s="2">
        <f t="shared" si="215"/>
        <v>22005</v>
      </c>
      <c r="J1523" s="13">
        <f t="shared" si="214"/>
        <v>-8.237077774389359</v>
      </c>
      <c r="K1523" s="10">
        <f t="shared" si="218"/>
        <v>175</v>
      </c>
      <c r="L1523" s="13">
        <f>(K1523-N1523)/D$12</f>
        <v>22.471226641950796</v>
      </c>
      <c r="M1523" s="10">
        <f t="shared" si="220"/>
        <v>0.18551235623646534</v>
      </c>
      <c r="N1523" s="10">
        <f t="shared" si="219"/>
        <v>126.99328853765057</v>
      </c>
      <c r="P1523" s="13">
        <f t="shared" si="216"/>
        <v>14.234148867561437</v>
      </c>
      <c r="Q1523" s="13">
        <f t="shared" si="217"/>
        <v>8.237077774389359</v>
      </c>
    </row>
    <row r="1524" spans="9:17" ht="12.75">
      <c r="I1524" s="2">
        <f t="shared" si="215"/>
        <v>22020</v>
      </c>
      <c r="J1524" s="13">
        <f t="shared" si="214"/>
        <v>-8.232896491699183</v>
      </c>
      <c r="K1524" s="10">
        <f t="shared" si="218"/>
        <v>175</v>
      </c>
      <c r="L1524" s="13">
        <f>(K1524-N1524)/D$12</f>
        <v>22.46704535926062</v>
      </c>
      <c r="M1524" s="10">
        <f t="shared" si="220"/>
        <v>-0.3900974978822944</v>
      </c>
      <c r="N1524" s="10">
        <f t="shared" si="219"/>
        <v>127.00222127794322</v>
      </c>
      <c r="P1524" s="13">
        <f t="shared" si="216"/>
        <v>14.234148867561437</v>
      </c>
      <c r="Q1524" s="13">
        <f t="shared" si="217"/>
        <v>8.232896491699183</v>
      </c>
    </row>
    <row r="1525" spans="9:17" ht="12.75">
      <c r="I1525" s="2">
        <f t="shared" si="215"/>
        <v>22035</v>
      </c>
      <c r="J1525" s="13">
        <f t="shared" si="214"/>
        <v>-8.24168894061453</v>
      </c>
      <c r="K1525" s="10">
        <f t="shared" si="218"/>
        <v>175</v>
      </c>
      <c r="L1525" s="13">
        <f>(K1525-N1525)/D$12</f>
        <v>22.475837808175967</v>
      </c>
      <c r="M1525" s="10">
        <f t="shared" si="220"/>
        <v>0.19012352246163644</v>
      </c>
      <c r="N1525" s="10">
        <f t="shared" si="219"/>
        <v>126.98343740980589</v>
      </c>
      <c r="P1525" s="13">
        <f t="shared" si="216"/>
        <v>14.234148867561437</v>
      </c>
      <c r="Q1525" s="13">
        <f t="shared" si="217"/>
        <v>8.24168894061453</v>
      </c>
    </row>
    <row r="1526" spans="9:17" ht="12.75">
      <c r="I1526" s="2">
        <f t="shared" si="215"/>
        <v>22050</v>
      </c>
      <c r="J1526" s="13">
        <f t="shared" si="214"/>
        <v>-8.237403726359311</v>
      </c>
      <c r="K1526" s="10">
        <f t="shared" si="218"/>
        <v>175</v>
      </c>
      <c r="L1526" s="13">
        <f>(K1526-N1526)/D$12</f>
        <v>22.471552593920748</v>
      </c>
      <c r="M1526" s="10">
        <f t="shared" si="220"/>
        <v>0.18583830820641722</v>
      </c>
      <c r="N1526" s="10">
        <f t="shared" si="219"/>
        <v>126.99259218571477</v>
      </c>
      <c r="P1526" s="13">
        <f t="shared" si="216"/>
        <v>14.234148867561437</v>
      </c>
      <c r="Q1526" s="13">
        <f t="shared" si="217"/>
        <v>8.237403726359311</v>
      </c>
    </row>
    <row r="1527" spans="9:17" ht="12.75">
      <c r="I1527" s="2">
        <f t="shared" si="215"/>
        <v>22065</v>
      </c>
      <c r="J1527" s="13">
        <f t="shared" si="214"/>
        <v>-8.233215097003082</v>
      </c>
      <c r="K1527" s="10">
        <f t="shared" si="218"/>
        <v>175</v>
      </c>
      <c r="L1527" s="13">
        <f>(K1527-N1527)/D$12</f>
        <v>22.46736396456452</v>
      </c>
      <c r="M1527" s="10">
        <f t="shared" si="220"/>
        <v>-0.38977889257839493</v>
      </c>
      <c r="N1527" s="10">
        <f t="shared" si="219"/>
        <v>127.00154062115762</v>
      </c>
      <c r="P1527" s="13">
        <f t="shared" si="216"/>
        <v>14.234148867561437</v>
      </c>
      <c r="Q1527" s="13">
        <f t="shared" si="217"/>
        <v>8.233215097003082</v>
      </c>
    </row>
    <row r="1528" spans="9:17" ht="12.75">
      <c r="I1528" s="2">
        <f t="shared" si="215"/>
        <v>22080</v>
      </c>
      <c r="J1528" s="13">
        <f aca="true" t="shared" si="221" ref="J1528:J1540">(D$7-K1528)*(1/D$13+1/D$14)+D$16*(D$19*D$21*D$17+D$20*D$22*D$18)*(D$7^4-K1528^4)-(K1528-N1528)/D$12</f>
        <v>-8.242000364839669</v>
      </c>
      <c r="K1528" s="10">
        <f t="shared" si="218"/>
        <v>175</v>
      </c>
      <c r="L1528" s="13">
        <f>(K1528-N1528)/D$12</f>
        <v>22.476149232401106</v>
      </c>
      <c r="M1528" s="10">
        <f t="shared" si="220"/>
        <v>0.19043494668677496</v>
      </c>
      <c r="N1528" s="10">
        <f t="shared" si="219"/>
        <v>126.98277209441582</v>
      </c>
      <c r="P1528" s="13">
        <f t="shared" si="216"/>
        <v>14.234148867561437</v>
      </c>
      <c r="Q1528" s="13">
        <f t="shared" si="217"/>
        <v>8.242000364839669</v>
      </c>
    </row>
    <row r="1529" spans="9:17" ht="12.75">
      <c r="I1529" s="2">
        <f aca="true" t="shared" si="222" ref="I1529:I1540">I1528+I$41</f>
        <v>22095</v>
      </c>
      <c r="J1529" s="13">
        <f t="shared" si="221"/>
        <v>-8.237708131360783</v>
      </c>
      <c r="K1529" s="10">
        <f t="shared" si="218"/>
        <v>175</v>
      </c>
      <c r="L1529" s="13">
        <f>(K1529-N1529)/D$12</f>
        <v>22.47185699892222</v>
      </c>
      <c r="M1529" s="10">
        <f t="shared" si="220"/>
        <v>0.18614271320788944</v>
      </c>
      <c r="N1529" s="10">
        <f t="shared" si="219"/>
        <v>126.9919418659389</v>
      </c>
      <c r="P1529" s="13">
        <f aca="true" t="shared" si="223" ref="P1529:P1592">(D$7-K1529)*(1/D$13+1/D$14)+D$16*(D$19*D$21*D$17+D$20*D$22*D$18)*(D$7^4-K1529^4)</f>
        <v>14.234148867561437</v>
      </c>
      <c r="Q1529" s="13">
        <f aca="true" t="shared" si="224" ref="Q1529:Q1540">IF(K1529=D$8,-J1529,0)</f>
        <v>8.237708131360783</v>
      </c>
    </row>
    <row r="1530" spans="9:17" ht="12.75">
      <c r="I1530" s="2">
        <f t="shared" si="222"/>
        <v>22110</v>
      </c>
      <c r="J1530" s="13">
        <f t="shared" si="221"/>
        <v>-8.233512640987911</v>
      </c>
      <c r="K1530" s="10">
        <f t="shared" si="218"/>
        <v>175</v>
      </c>
      <c r="L1530" s="13">
        <f>(K1530-N1530)/D$12</f>
        <v>22.467661508549348</v>
      </c>
      <c r="M1530" s="10">
        <f t="shared" si="220"/>
        <v>-0.3894813485935664</v>
      </c>
      <c r="N1530" s="10">
        <f t="shared" si="219"/>
        <v>127.00090495900821</v>
      </c>
      <c r="P1530" s="13">
        <f t="shared" si="223"/>
        <v>14.234148867561437</v>
      </c>
      <c r="Q1530" s="13">
        <f t="shared" si="224"/>
        <v>8.233512640987911</v>
      </c>
    </row>
    <row r="1531" spans="9:17" ht="12.75">
      <c r="I1531" s="2">
        <f t="shared" si="222"/>
        <v>22125</v>
      </c>
      <c r="J1531" s="13">
        <f t="shared" si="221"/>
        <v>-8.242291202449039</v>
      </c>
      <c r="K1531" s="10">
        <f t="shared" si="218"/>
        <v>175</v>
      </c>
      <c r="L1531" s="13">
        <f>(K1531-N1531)/D$12</f>
        <v>22.476440070010476</v>
      </c>
      <c r="M1531" s="10">
        <f t="shared" si="220"/>
        <v>0.19072578429614495</v>
      </c>
      <c r="N1531" s="10">
        <f t="shared" si="219"/>
        <v>126.98215075952308</v>
      </c>
      <c r="P1531" s="13">
        <f t="shared" si="223"/>
        <v>14.234148867561437</v>
      </c>
      <c r="Q1531" s="13">
        <f t="shared" si="224"/>
        <v>8.242291202449039</v>
      </c>
    </row>
    <row r="1532" spans="9:17" ht="12.75">
      <c r="I1532" s="2">
        <f t="shared" si="222"/>
        <v>22140</v>
      </c>
      <c r="J1532" s="13">
        <f t="shared" si="221"/>
        <v>-8.237992413750398</v>
      </c>
      <c r="K1532" s="10">
        <f t="shared" si="218"/>
        <v>175</v>
      </c>
      <c r="L1532" s="13">
        <f>(K1532-N1532)/D$12</f>
        <v>22.472141281311835</v>
      </c>
      <c r="M1532" s="10">
        <f t="shared" si="220"/>
        <v>0.18642699559750397</v>
      </c>
      <c r="N1532" s="10">
        <f t="shared" si="219"/>
        <v>126.99133453537927</v>
      </c>
      <c r="P1532" s="13">
        <f t="shared" si="223"/>
        <v>14.234148867561437</v>
      </c>
      <c r="Q1532" s="13">
        <f t="shared" si="224"/>
        <v>8.237992413750398</v>
      </c>
    </row>
    <row r="1533" spans="9:17" ht="12.75">
      <c r="I1533" s="2">
        <f t="shared" si="222"/>
        <v>22155</v>
      </c>
      <c r="J1533" s="13">
        <f t="shared" si="221"/>
        <v>-8.23379051590657</v>
      </c>
      <c r="K1533" s="10">
        <f t="shared" si="218"/>
        <v>175</v>
      </c>
      <c r="L1533" s="13">
        <f>(K1533-N1533)/D$12</f>
        <v>22.467939383468007</v>
      </c>
      <c r="M1533" s="10">
        <f t="shared" si="220"/>
        <v>-0.3892034736749075</v>
      </c>
      <c r="N1533" s="10">
        <f t="shared" si="219"/>
        <v>127.00031131713654</v>
      </c>
      <c r="P1533" s="13">
        <f t="shared" si="223"/>
        <v>14.234148867561437</v>
      </c>
      <c r="Q1533" s="13">
        <f t="shared" si="224"/>
        <v>8.23379051590657</v>
      </c>
    </row>
    <row r="1534" spans="9:17" ht="12.75">
      <c r="I1534" s="2">
        <f t="shared" si="222"/>
        <v>22170</v>
      </c>
      <c r="J1534" s="13">
        <f t="shared" si="221"/>
        <v>-8.242562814315402</v>
      </c>
      <c r="K1534" s="10">
        <f t="shared" si="218"/>
        <v>175</v>
      </c>
      <c r="L1534" s="13">
        <f>(K1534-N1534)/D$12</f>
        <v>22.47671168187684</v>
      </c>
      <c r="M1534" s="10">
        <f t="shared" si="220"/>
        <v>0.19099739616250844</v>
      </c>
      <c r="N1534" s="10">
        <f t="shared" si="219"/>
        <v>126.98157049780858</v>
      </c>
      <c r="P1534" s="13">
        <f t="shared" si="223"/>
        <v>14.234148867561437</v>
      </c>
      <c r="Q1534" s="13">
        <f t="shared" si="224"/>
        <v>8.242562814315402</v>
      </c>
    </row>
    <row r="1535" spans="9:17" ht="12.75">
      <c r="I1535" s="2">
        <f t="shared" si="222"/>
        <v>22185</v>
      </c>
      <c r="J1535" s="13">
        <f t="shared" si="221"/>
        <v>-8.238257903728073</v>
      </c>
      <c r="K1535" s="10">
        <f t="shared" si="218"/>
        <v>175</v>
      </c>
      <c r="L1535" s="13">
        <f>(K1535-N1535)/D$12</f>
        <v>22.47240677128951</v>
      </c>
      <c r="M1535" s="10">
        <f t="shared" si="220"/>
        <v>0.18669248557517903</v>
      </c>
      <c r="N1535" s="10">
        <f t="shared" si="219"/>
        <v>126.99076735224514</v>
      </c>
      <c r="P1535" s="13">
        <f t="shared" si="223"/>
        <v>14.234148867561437</v>
      </c>
      <c r="Q1535" s="13">
        <f t="shared" si="224"/>
        <v>8.238257903728073</v>
      </c>
    </row>
    <row r="1536" spans="9:17" ht="12.75">
      <c r="I1536" s="2">
        <f t="shared" si="222"/>
        <v>22200</v>
      </c>
      <c r="J1536" s="13">
        <f t="shared" si="221"/>
        <v>-8.234050021977453</v>
      </c>
      <c r="K1536" s="10">
        <f t="shared" si="218"/>
        <v>175</v>
      </c>
      <c r="L1536" s="13">
        <f>(K1536-N1536)/D$12</f>
        <v>22.46819888953889</v>
      </c>
      <c r="M1536" s="10">
        <f t="shared" si="220"/>
        <v>0.1824846038245589</v>
      </c>
      <c r="N1536" s="10">
        <f t="shared" si="219"/>
        <v>126.99975691780328</v>
      </c>
      <c r="P1536" s="13">
        <f t="shared" si="223"/>
        <v>14.234148867561437</v>
      </c>
      <c r="Q1536" s="13">
        <f t="shared" si="224"/>
        <v>8.234050021977453</v>
      </c>
    </row>
    <row r="1537" spans="9:17" ht="12.75">
      <c r="I1537" s="2">
        <f t="shared" si="222"/>
        <v>22215</v>
      </c>
      <c r="J1537" s="13">
        <f t="shared" si="221"/>
        <v>-8.2299369821203</v>
      </c>
      <c r="K1537" s="10">
        <f t="shared" si="218"/>
        <v>175</v>
      </c>
      <c r="L1537" s="13">
        <f>(K1537-N1537)/D$12</f>
        <v>22.464085849681737</v>
      </c>
      <c r="M1537" s="10">
        <f t="shared" si="220"/>
        <v>-0.3930570074611772</v>
      </c>
      <c r="N1537" s="10">
        <f t="shared" si="219"/>
        <v>127.00854386658902</v>
      </c>
      <c r="P1537" s="13">
        <f t="shared" si="223"/>
        <v>14.234148867561437</v>
      </c>
      <c r="Q1537" s="13">
        <f t="shared" si="224"/>
        <v>8.2299369821203</v>
      </c>
    </row>
    <row r="1538" spans="9:17" ht="12.75">
      <c r="I1538" s="2">
        <f t="shared" si="222"/>
        <v>22230</v>
      </c>
      <c r="J1538" s="13">
        <f t="shared" si="221"/>
        <v>-8.238796135736216</v>
      </c>
      <c r="K1538" s="10">
        <f t="shared" si="218"/>
        <v>175</v>
      </c>
      <c r="L1538" s="13">
        <f>(K1538-N1538)/D$12</f>
        <v>22.472945003297653</v>
      </c>
      <c r="M1538" s="10">
        <f t="shared" si="220"/>
        <v>0.1872307175833221</v>
      </c>
      <c r="N1538" s="10">
        <f t="shared" si="219"/>
        <v>126.98961749295502</v>
      </c>
      <c r="P1538" s="13">
        <f t="shared" si="223"/>
        <v>14.234148867561437</v>
      </c>
      <c r="Q1538" s="13">
        <f t="shared" si="224"/>
        <v>8.238796135736216</v>
      </c>
    </row>
    <row r="1539" spans="9:17" ht="12.75">
      <c r="I1539" s="2">
        <f t="shared" si="222"/>
        <v>22245</v>
      </c>
      <c r="J1539" s="13">
        <f t="shared" si="221"/>
        <v>-8.234576122717232</v>
      </c>
      <c r="K1539" s="10">
        <f t="shared" si="218"/>
        <v>175</v>
      </c>
      <c r="L1539" s="13">
        <f>(K1539-N1539)/D$12</f>
        <v>22.46872499027867</v>
      </c>
      <c r="M1539" s="10">
        <f t="shared" si="220"/>
        <v>0.18301070456433877</v>
      </c>
      <c r="N1539" s="10">
        <f t="shared" si="219"/>
        <v>126.99863297531375</v>
      </c>
      <c r="P1539" s="13">
        <f t="shared" si="223"/>
        <v>14.234148867561437</v>
      </c>
      <c r="Q1539" s="13">
        <f t="shared" si="224"/>
        <v>8.234576122717232</v>
      </c>
    </row>
    <row r="1540" spans="9:17" ht="12.75">
      <c r="I1540" s="2">
        <f t="shared" si="222"/>
        <v>22260</v>
      </c>
      <c r="J1540" s="13">
        <f t="shared" si="221"/>
        <v>-8.230451225019657</v>
      </c>
      <c r="K1540" s="10">
        <f t="shared" si="218"/>
        <v>175</v>
      </c>
      <c r="L1540" s="13">
        <f>(K1540-N1540)/D$12</f>
        <v>22.464600092581094</v>
      </c>
      <c r="M1540" s="10">
        <f t="shared" si="220"/>
        <v>-0.3925427645618207</v>
      </c>
      <c r="N1540" s="10">
        <f t="shared" si="219"/>
        <v>127.00744525675857</v>
      </c>
      <c r="P1540" s="13">
        <f t="shared" si="223"/>
        <v>14.234148867561437</v>
      </c>
      <c r="Q1540" s="13">
        <f t="shared" si="224"/>
        <v>8.230451225019657</v>
      </c>
    </row>
    <row r="1541" spans="11:16" ht="12.75">
      <c r="K1541" s="10">
        <f>K1540-1</f>
        <v>174</v>
      </c>
      <c r="L1541" s="10"/>
      <c r="P1541" s="13"/>
    </row>
    <row r="1542" spans="11:16" ht="12.75">
      <c r="K1542" s="10">
        <f aca="true" t="shared" si="225" ref="K1542:K1605">K1541-1</f>
        <v>173</v>
      </c>
      <c r="L1542" s="10"/>
      <c r="P1542" s="13">
        <f t="shared" si="223"/>
        <v>14.363072436899985</v>
      </c>
    </row>
    <row r="1543" spans="11:16" ht="12.75">
      <c r="K1543" s="10">
        <f t="shared" si="225"/>
        <v>172</v>
      </c>
      <c r="L1543" s="10"/>
      <c r="P1543" s="13">
        <f t="shared" si="223"/>
        <v>14.426678415238168</v>
      </c>
    </row>
    <row r="1544" spans="11:16" ht="12.75">
      <c r="K1544" s="10">
        <f t="shared" si="225"/>
        <v>171</v>
      </c>
      <c r="L1544" s="10"/>
      <c r="P1544" s="13">
        <f t="shared" si="223"/>
        <v>14.489722603870224</v>
      </c>
    </row>
    <row r="1545" spans="11:16" ht="12.75">
      <c r="K1545" s="10">
        <f t="shared" si="225"/>
        <v>170</v>
      </c>
      <c r="L1545" s="10"/>
      <c r="P1545" s="13">
        <f t="shared" si="223"/>
        <v>14.552211516208255</v>
      </c>
    </row>
    <row r="1546" spans="11:16" ht="12.75">
      <c r="K1546" s="10">
        <f t="shared" si="225"/>
        <v>169</v>
      </c>
      <c r="L1546" s="10"/>
      <c r="P1546" s="13">
        <f t="shared" si="223"/>
        <v>14.614151627685285</v>
      </c>
    </row>
    <row r="1547" spans="11:16" ht="12.75">
      <c r="K1547" s="10">
        <f t="shared" si="225"/>
        <v>168</v>
      </c>
      <c r="L1547" s="10"/>
      <c r="P1547" s="13">
        <f t="shared" si="223"/>
        <v>14.675549375755258</v>
      </c>
    </row>
    <row r="1548" spans="11:16" ht="12.75">
      <c r="K1548" s="10">
        <f t="shared" si="225"/>
        <v>167</v>
      </c>
      <c r="L1548" s="10"/>
      <c r="P1548" s="13">
        <f t="shared" si="223"/>
        <v>14.736411159893038</v>
      </c>
    </row>
    <row r="1549" spans="11:16" ht="12.75">
      <c r="K1549" s="10">
        <f t="shared" si="225"/>
        <v>166</v>
      </c>
      <c r="L1549" s="10"/>
      <c r="P1549" s="13">
        <f t="shared" si="223"/>
        <v>14.796743341594407</v>
      </c>
    </row>
    <row r="1550" spans="11:16" ht="12.75">
      <c r="K1550" s="10">
        <f t="shared" si="225"/>
        <v>165</v>
      </c>
      <c r="L1550" s="10"/>
      <c r="P1550" s="13">
        <f t="shared" si="223"/>
        <v>14.856552244376076</v>
      </c>
    </row>
    <row r="1551" spans="11:16" ht="12.75">
      <c r="K1551" s="10">
        <f t="shared" si="225"/>
        <v>164</v>
      </c>
      <c r="L1551" s="10"/>
      <c r="P1551" s="13">
        <f t="shared" si="223"/>
        <v>14.91584415377567</v>
      </c>
    </row>
    <row r="1552" spans="11:16" ht="12.75">
      <c r="K1552" s="10">
        <f t="shared" si="225"/>
        <v>163</v>
      </c>
      <c r="L1552" s="10"/>
      <c r="P1552" s="13">
        <f t="shared" si="223"/>
        <v>14.97462531735173</v>
      </c>
    </row>
    <row r="1553" spans="11:16" ht="12.75">
      <c r="K1553" s="10">
        <f t="shared" si="225"/>
        <v>162</v>
      </c>
      <c r="L1553" s="10"/>
      <c r="P1553" s="13">
        <f t="shared" si="223"/>
        <v>15.032901944683733</v>
      </c>
    </row>
    <row r="1554" spans="11:16" ht="12.75">
      <c r="K1554" s="10">
        <f t="shared" si="225"/>
        <v>161</v>
      </c>
      <c r="L1554" s="10"/>
      <c r="P1554" s="13">
        <f t="shared" si="223"/>
        <v>15.09068020737206</v>
      </c>
    </row>
    <row r="1555" spans="11:16" ht="12.75">
      <c r="K1555" s="10">
        <f t="shared" si="225"/>
        <v>160</v>
      </c>
      <c r="L1555" s="10"/>
      <c r="P1555" s="13">
        <f t="shared" si="223"/>
        <v>15.147966239038027</v>
      </c>
    </row>
    <row r="1556" spans="11:16" ht="12.75">
      <c r="K1556" s="10">
        <f t="shared" si="225"/>
        <v>159</v>
      </c>
      <c r="L1556" s="10"/>
      <c r="P1556" s="13">
        <f t="shared" si="223"/>
        <v>15.204766135323855</v>
      </c>
    </row>
    <row r="1557" spans="11:16" ht="12.75">
      <c r="K1557" s="10">
        <f t="shared" si="225"/>
        <v>158</v>
      </c>
      <c r="L1557" s="10"/>
      <c r="P1557" s="13">
        <f t="shared" si="223"/>
        <v>15.261085953892703</v>
      </c>
    </row>
    <row r="1558" spans="11:16" ht="12.75">
      <c r="K1558" s="10">
        <f t="shared" si="225"/>
        <v>157</v>
      </c>
      <c r="L1558" s="10"/>
      <c r="P1558" s="13">
        <f t="shared" si="223"/>
        <v>15.316931714428637</v>
      </c>
    </row>
    <row r="1559" spans="11:16" ht="12.75">
      <c r="K1559" s="10">
        <f t="shared" si="225"/>
        <v>156</v>
      </c>
      <c r="L1559" s="10"/>
      <c r="P1559" s="13">
        <f t="shared" si="223"/>
        <v>15.37230939863665</v>
      </c>
    </row>
    <row r="1560" spans="11:16" ht="12.75">
      <c r="K1560" s="10">
        <f t="shared" si="225"/>
        <v>155</v>
      </c>
      <c r="L1560" s="10"/>
      <c r="P1560" s="13">
        <f t="shared" si="223"/>
        <v>15.427224950242655</v>
      </c>
    </row>
    <row r="1561" spans="11:16" ht="12.75">
      <c r="K1561" s="10">
        <f t="shared" si="225"/>
        <v>154</v>
      </c>
      <c r="L1561" s="10"/>
      <c r="P1561" s="13">
        <f t="shared" si="223"/>
        <v>15.481684274993485</v>
      </c>
    </row>
    <row r="1562" spans="11:16" ht="12.75">
      <c r="K1562" s="10">
        <f t="shared" si="225"/>
        <v>153</v>
      </c>
      <c r="L1562" s="10"/>
      <c r="P1562" s="13">
        <f t="shared" si="223"/>
        <v>15.535693240656894</v>
      </c>
    </row>
    <row r="1563" spans="11:16" ht="12.75">
      <c r="K1563" s="10">
        <f t="shared" si="225"/>
        <v>152</v>
      </c>
      <c r="L1563" s="10"/>
      <c r="P1563" s="13">
        <f t="shared" si="223"/>
        <v>15.589257677021557</v>
      </c>
    </row>
    <row r="1564" spans="11:16" ht="12.75">
      <c r="K1564" s="10">
        <f t="shared" si="225"/>
        <v>151</v>
      </c>
      <c r="L1564" s="10"/>
      <c r="P1564" s="13">
        <f t="shared" si="223"/>
        <v>15.642383375897067</v>
      </c>
    </row>
    <row r="1565" spans="11:16" ht="12.75">
      <c r="K1565" s="10">
        <f t="shared" si="225"/>
        <v>150</v>
      </c>
      <c r="L1565" s="10"/>
      <c r="P1565" s="13">
        <f t="shared" si="223"/>
        <v>15.695076091113943</v>
      </c>
    </row>
    <row r="1566" spans="11:16" ht="12.75">
      <c r="K1566" s="10">
        <f t="shared" si="225"/>
        <v>149</v>
      </c>
      <c r="L1566" s="10"/>
      <c r="P1566" s="13">
        <f t="shared" si="223"/>
        <v>15.74734153852362</v>
      </c>
    </row>
    <row r="1567" spans="11:16" ht="12.75">
      <c r="K1567" s="10">
        <f t="shared" si="225"/>
        <v>148</v>
      </c>
      <c r="L1567" s="10"/>
      <c r="P1567" s="13">
        <f t="shared" si="223"/>
        <v>15.79918539599846</v>
      </c>
    </row>
    <row r="1568" spans="11:16" ht="12.75">
      <c r="K1568" s="10">
        <f t="shared" si="225"/>
        <v>147</v>
      </c>
      <c r="L1568" s="10"/>
      <c r="P1568" s="13">
        <f t="shared" si="223"/>
        <v>15.850613303431732</v>
      </c>
    </row>
    <row r="1569" spans="11:16" ht="12.75">
      <c r="K1569" s="10">
        <f t="shared" si="225"/>
        <v>146</v>
      </c>
      <c r="L1569" s="10"/>
      <c r="P1569" s="13">
        <f t="shared" si="223"/>
        <v>15.90163086273764</v>
      </c>
    </row>
    <row r="1570" spans="11:16" ht="12.75">
      <c r="K1570" s="10">
        <f t="shared" si="225"/>
        <v>145</v>
      </c>
      <c r="L1570" s="10"/>
      <c r="P1570" s="13">
        <f t="shared" si="223"/>
        <v>15.952243637851307</v>
      </c>
    </row>
    <row r="1571" spans="11:16" ht="12.75">
      <c r="K1571" s="10">
        <f t="shared" si="225"/>
        <v>144</v>
      </c>
      <c r="L1571" s="10"/>
      <c r="P1571" s="13">
        <f t="shared" si="223"/>
        <v>16.002457154728766</v>
      </c>
    </row>
    <row r="1572" spans="11:16" ht="12.75">
      <c r="K1572" s="10">
        <f t="shared" si="225"/>
        <v>143</v>
      </c>
      <c r="L1572" s="10"/>
      <c r="P1572" s="13">
        <f t="shared" si="223"/>
        <v>16.052276901346982</v>
      </c>
    </row>
    <row r="1573" spans="11:16" ht="12.75">
      <c r="K1573" s="10">
        <f t="shared" si="225"/>
        <v>142</v>
      </c>
      <c r="L1573" s="10"/>
      <c r="P1573" s="13">
        <f t="shared" si="223"/>
        <v>16.101708327703832</v>
      </c>
    </row>
    <row r="1574" spans="11:16" ht="12.75">
      <c r="K1574" s="10">
        <f t="shared" si="225"/>
        <v>141</v>
      </c>
      <c r="L1574" s="10"/>
      <c r="P1574" s="13">
        <f t="shared" si="223"/>
        <v>16.150756845818126</v>
      </c>
    </row>
    <row r="1575" spans="11:16" ht="12.75">
      <c r="K1575" s="10">
        <f t="shared" si="225"/>
        <v>140</v>
      </c>
      <c r="L1575" s="10"/>
      <c r="P1575" s="13">
        <f t="shared" si="223"/>
        <v>16.19942782972958</v>
      </c>
    </row>
    <row r="1576" spans="11:16" ht="12.75">
      <c r="K1576" s="10">
        <f t="shared" si="225"/>
        <v>139</v>
      </c>
      <c r="L1576" s="10"/>
      <c r="P1576" s="13">
        <f t="shared" si="223"/>
        <v>16.24772661549884</v>
      </c>
    </row>
    <row r="1577" spans="11:16" ht="12.75">
      <c r="K1577" s="10">
        <f t="shared" si="225"/>
        <v>138</v>
      </c>
      <c r="L1577" s="10"/>
      <c r="P1577" s="13">
        <f t="shared" si="223"/>
        <v>16.29565850120747</v>
      </c>
    </row>
    <row r="1578" spans="11:16" ht="12.75">
      <c r="K1578" s="10">
        <f t="shared" si="225"/>
        <v>137</v>
      </c>
      <c r="L1578" s="10"/>
      <c r="P1578" s="13">
        <f t="shared" si="223"/>
        <v>16.343228746957955</v>
      </c>
    </row>
    <row r="1579" spans="11:16" ht="12.75">
      <c r="K1579" s="10">
        <f t="shared" si="225"/>
        <v>136</v>
      </c>
      <c r="L1579" s="10"/>
      <c r="P1579" s="13">
        <f t="shared" si="223"/>
        <v>16.390442574873703</v>
      </c>
    </row>
    <row r="1580" spans="11:16" ht="12.75">
      <c r="K1580" s="10">
        <f t="shared" si="225"/>
        <v>135</v>
      </c>
      <c r="L1580" s="10"/>
      <c r="P1580" s="13">
        <f t="shared" si="223"/>
        <v>16.437305169099034</v>
      </c>
    </row>
    <row r="1581" spans="11:16" ht="12.75">
      <c r="K1581" s="10">
        <f t="shared" si="225"/>
        <v>134</v>
      </c>
      <c r="L1581" s="10"/>
      <c r="P1581" s="13">
        <f t="shared" si="223"/>
        <v>16.4838216757992</v>
      </c>
    </row>
    <row r="1582" spans="11:16" ht="12.75">
      <c r="K1582" s="10">
        <f t="shared" si="225"/>
        <v>133</v>
      </c>
      <c r="L1582" s="10"/>
      <c r="P1582" s="13">
        <f t="shared" si="223"/>
        <v>16.52999720316037</v>
      </c>
    </row>
    <row r="1583" spans="11:16" ht="12.75">
      <c r="K1583" s="10">
        <f t="shared" si="225"/>
        <v>132</v>
      </c>
      <c r="L1583" s="10"/>
      <c r="P1583" s="13">
        <f t="shared" si="223"/>
        <v>16.57583682138963</v>
      </c>
    </row>
    <row r="1584" spans="11:16" ht="12.75">
      <c r="K1584" s="10">
        <f t="shared" si="225"/>
        <v>131</v>
      </c>
      <c r="L1584" s="10"/>
      <c r="P1584" s="13">
        <f t="shared" si="223"/>
        <v>16.621345562714986</v>
      </c>
    </row>
    <row r="1585" spans="11:16" ht="12.75">
      <c r="K1585" s="10">
        <f t="shared" si="225"/>
        <v>130</v>
      </c>
      <c r="L1585" s="10"/>
      <c r="P1585" s="13">
        <f t="shared" si="223"/>
        <v>16.66652842138537</v>
      </c>
    </row>
    <row r="1586" spans="11:16" ht="12.75">
      <c r="K1586" s="10">
        <f t="shared" si="225"/>
        <v>129</v>
      </c>
      <c r="L1586" s="10"/>
      <c r="P1586" s="13">
        <f t="shared" si="223"/>
        <v>16.711390353670634</v>
      </c>
    </row>
    <row r="1587" spans="11:16" ht="12.75">
      <c r="K1587" s="10">
        <f t="shared" si="225"/>
        <v>128</v>
      </c>
      <c r="L1587" s="10"/>
      <c r="P1587" s="13">
        <f t="shared" si="223"/>
        <v>16.755936277861547</v>
      </c>
    </row>
    <row r="1588" spans="11:16" ht="12.75">
      <c r="K1588" s="10">
        <f t="shared" si="225"/>
        <v>127</v>
      </c>
      <c r="L1588" s="10"/>
      <c r="P1588" s="13">
        <f t="shared" si="223"/>
        <v>16.8001710742698</v>
      </c>
    </row>
    <row r="1589" spans="11:16" ht="12.75">
      <c r="K1589" s="10">
        <f t="shared" si="225"/>
        <v>126</v>
      </c>
      <c r="L1589" s="10"/>
      <c r="P1589" s="13">
        <f t="shared" si="223"/>
        <v>16.84409958522801</v>
      </c>
    </row>
    <row r="1590" spans="11:16" ht="12.75">
      <c r="K1590" s="10">
        <f t="shared" si="225"/>
        <v>125</v>
      </c>
      <c r="L1590" s="10"/>
      <c r="P1590" s="13">
        <f t="shared" si="223"/>
        <v>16.88772661508971</v>
      </c>
    </row>
    <row r="1591" spans="11:16" ht="12.75">
      <c r="K1591" s="10">
        <f t="shared" si="225"/>
        <v>124</v>
      </c>
      <c r="L1591" s="10"/>
      <c r="P1591" s="13">
        <f t="shared" si="223"/>
        <v>16.93105693022935</v>
      </c>
    </row>
    <row r="1592" spans="11:16" ht="12.75">
      <c r="K1592" s="10">
        <f t="shared" si="225"/>
        <v>123</v>
      </c>
      <c r="L1592" s="10"/>
      <c r="P1592" s="13">
        <f t="shared" si="223"/>
        <v>16.9740952590423</v>
      </c>
    </row>
    <row r="1593" spans="11:16" ht="12.75">
      <c r="K1593" s="10">
        <f t="shared" si="225"/>
        <v>122</v>
      </c>
      <c r="L1593" s="10"/>
      <c r="P1593" s="13">
        <f aca="true" t="shared" si="226" ref="P1593:P1621">(D$7-K1593)*(1/D$13+1/D$14)+D$16*(D$19*D$21*D$17+D$20*D$22*D$18)*(D$7^4-K1593^4)</f>
        <v>17.016846291944866</v>
      </c>
    </row>
    <row r="1594" spans="11:16" ht="12.75">
      <c r="K1594" s="10">
        <f t="shared" si="225"/>
        <v>121</v>
      </c>
      <c r="L1594" s="10"/>
      <c r="P1594" s="13">
        <f t="shared" si="226"/>
        <v>17.05931468137426</v>
      </c>
    </row>
    <row r="1595" spans="11:16" ht="12.75">
      <c r="K1595" s="10">
        <f t="shared" si="225"/>
        <v>120</v>
      </c>
      <c r="L1595" s="10"/>
      <c r="P1595" s="13">
        <f t="shared" si="226"/>
        <v>17.101505041788613</v>
      </c>
    </row>
    <row r="1596" spans="11:16" ht="12.75">
      <c r="K1596" s="10">
        <f t="shared" si="225"/>
        <v>119</v>
      </c>
      <c r="L1596" s="10"/>
      <c r="P1596" s="13">
        <f t="shared" si="226"/>
        <v>17.14342194966699</v>
      </c>
    </row>
    <row r="1597" spans="11:16" ht="12.75">
      <c r="K1597" s="10">
        <f t="shared" si="225"/>
        <v>118</v>
      </c>
      <c r="L1597" s="10"/>
      <c r="P1597" s="13">
        <f t="shared" si="226"/>
        <v>17.18506994350936</v>
      </c>
    </row>
    <row r="1598" spans="11:16" ht="12.75">
      <c r="K1598" s="10">
        <f t="shared" si="225"/>
        <v>117</v>
      </c>
      <c r="L1598" s="10"/>
      <c r="P1598" s="13">
        <f t="shared" si="226"/>
        <v>17.226453523836636</v>
      </c>
    </row>
    <row r="1599" spans="11:16" ht="12.75">
      <c r="K1599" s="10">
        <f t="shared" si="225"/>
        <v>116</v>
      </c>
      <c r="L1599" s="10"/>
      <c r="P1599" s="13">
        <f t="shared" si="226"/>
        <v>17.267577153190622</v>
      </c>
    </row>
    <row r="1600" spans="11:16" ht="12.75">
      <c r="K1600" s="10">
        <f t="shared" si="225"/>
        <v>115</v>
      </c>
      <c r="L1600" s="10"/>
      <c r="P1600" s="13">
        <f t="shared" si="226"/>
        <v>17.308445256134068</v>
      </c>
    </row>
    <row r="1601" spans="11:16" ht="12.75">
      <c r="K1601" s="10">
        <f t="shared" si="225"/>
        <v>114</v>
      </c>
      <c r="L1601" s="10"/>
      <c r="P1601" s="13">
        <f t="shared" si="226"/>
        <v>17.34906221925063</v>
      </c>
    </row>
    <row r="1602" spans="11:16" ht="12.75">
      <c r="K1602" s="10">
        <f t="shared" si="225"/>
        <v>113</v>
      </c>
      <c r="L1602" s="10"/>
      <c r="P1602" s="13">
        <f t="shared" si="226"/>
        <v>17.38943239114489</v>
      </c>
    </row>
    <row r="1603" spans="11:16" ht="12.75">
      <c r="K1603" s="10">
        <f t="shared" si="225"/>
        <v>112</v>
      </c>
      <c r="L1603" s="10"/>
      <c r="P1603" s="13">
        <f t="shared" si="226"/>
        <v>17.42956008244235</v>
      </c>
    </row>
    <row r="1604" spans="11:16" ht="12.75">
      <c r="K1604" s="10">
        <f t="shared" si="225"/>
        <v>111</v>
      </c>
      <c r="L1604" s="10"/>
      <c r="P1604" s="13">
        <f t="shared" si="226"/>
        <v>17.469449565789432</v>
      </c>
    </row>
    <row r="1605" spans="11:16" ht="12.75">
      <c r="K1605" s="10">
        <f t="shared" si="225"/>
        <v>110</v>
      </c>
      <c r="L1605" s="10"/>
      <c r="P1605" s="13">
        <f t="shared" si="226"/>
        <v>17.509105075853483</v>
      </c>
    </row>
    <row r="1606" spans="11:16" ht="12.75">
      <c r="K1606" s="10">
        <f aca="true" t="shared" si="227" ref="K1606:K1622">K1605-1</f>
        <v>109</v>
      </c>
      <c r="L1606" s="10"/>
      <c r="P1606" s="13">
        <f t="shared" si="226"/>
        <v>17.548530809322767</v>
      </c>
    </row>
    <row r="1607" spans="11:16" ht="12.75">
      <c r="K1607" s="10">
        <f t="shared" si="227"/>
        <v>108</v>
      </c>
      <c r="L1607" s="10"/>
      <c r="P1607" s="13">
        <f t="shared" si="226"/>
        <v>17.587730924906463</v>
      </c>
    </row>
    <row r="1608" spans="11:16" ht="12.75">
      <c r="K1608" s="10">
        <f t="shared" si="227"/>
        <v>107</v>
      </c>
      <c r="L1608" s="10"/>
      <c r="P1608" s="13">
        <f t="shared" si="226"/>
        <v>17.626709543334684</v>
      </c>
    </row>
    <row r="1609" spans="11:16" ht="12.75">
      <c r="K1609" s="10">
        <f t="shared" si="227"/>
        <v>106</v>
      </c>
      <c r="L1609" s="10"/>
      <c r="P1609" s="13">
        <f t="shared" si="226"/>
        <v>17.665470747358448</v>
      </c>
    </row>
    <row r="1610" spans="11:16" ht="12.75">
      <c r="K1610" s="10">
        <f t="shared" si="227"/>
        <v>105</v>
      </c>
      <c r="L1610" s="10"/>
      <c r="P1610" s="13">
        <f t="shared" si="226"/>
        <v>17.704018581749708</v>
      </c>
    </row>
    <row r="1611" spans="11:16" ht="12.75">
      <c r="K1611" s="10">
        <f t="shared" si="227"/>
        <v>104</v>
      </c>
      <c r="L1611" s="10"/>
      <c r="P1611" s="13">
        <f t="shared" si="226"/>
        <v>17.742357053301333</v>
      </c>
    </row>
    <row r="1612" spans="11:16" ht="12.75">
      <c r="K1612" s="10">
        <f t="shared" si="227"/>
        <v>103</v>
      </c>
      <c r="L1612" s="10"/>
      <c r="P1612" s="13">
        <f t="shared" si="226"/>
        <v>17.780490130827104</v>
      </c>
    </row>
    <row r="1613" spans="11:16" ht="12.75">
      <c r="K1613" s="10">
        <f t="shared" si="227"/>
        <v>102</v>
      </c>
      <c r="L1613" s="10"/>
      <c r="P1613" s="13">
        <f t="shared" si="226"/>
        <v>17.818421745161736</v>
      </c>
    </row>
    <row r="1614" spans="11:16" ht="12.75">
      <c r="K1614" s="10">
        <f t="shared" si="227"/>
        <v>101</v>
      </c>
      <c r="L1614" s="10"/>
      <c r="P1614" s="13">
        <f t="shared" si="226"/>
        <v>17.85615578916086</v>
      </c>
    </row>
    <row r="1615" spans="11:16" ht="12.75">
      <c r="K1615" s="10">
        <f t="shared" si="227"/>
        <v>100</v>
      </c>
      <c r="L1615" s="10"/>
      <c r="P1615" s="13">
        <f t="shared" si="226"/>
        <v>17.893696117701015</v>
      </c>
    </row>
    <row r="1616" spans="11:16" ht="12.75">
      <c r="K1616" s="10">
        <f t="shared" si="227"/>
        <v>99</v>
      </c>
      <c r="L1616" s="10"/>
      <c r="P1616" s="13">
        <f t="shared" si="226"/>
        <v>17.931046547679685</v>
      </c>
    </row>
    <row r="1617" spans="11:16" ht="12.75">
      <c r="K1617" s="10">
        <f t="shared" si="227"/>
        <v>98</v>
      </c>
      <c r="L1617" s="10"/>
      <c r="P1617" s="13">
        <f t="shared" si="226"/>
        <v>17.968210858015254</v>
      </c>
    </row>
    <row r="1618" spans="11:16" ht="12.75">
      <c r="K1618" s="10">
        <f t="shared" si="227"/>
        <v>97</v>
      </c>
      <c r="L1618" s="10"/>
      <c r="P1618" s="13">
        <f t="shared" si="226"/>
        <v>18.00519278964704</v>
      </c>
    </row>
    <row r="1619" spans="11:16" ht="12.75">
      <c r="K1619" s="10">
        <f t="shared" si="227"/>
        <v>96</v>
      </c>
      <c r="L1619" s="10"/>
      <c r="P1619" s="13">
        <f t="shared" si="226"/>
        <v>18.04199604553527</v>
      </c>
    </row>
    <row r="1620" spans="11:16" ht="12.75">
      <c r="K1620" s="10">
        <f t="shared" si="227"/>
        <v>95</v>
      </c>
      <c r="L1620" s="10"/>
      <c r="P1620" s="13">
        <f t="shared" si="226"/>
        <v>18.078624290661104</v>
      </c>
    </row>
    <row r="1621" spans="11:16" ht="12.75">
      <c r="K1621" s="10">
        <f t="shared" si="227"/>
        <v>94</v>
      </c>
      <c r="L1621" s="10"/>
      <c r="P1621" s="13">
        <f t="shared" si="226"/>
        <v>18.11508115202661</v>
      </c>
    </row>
    <row r="1622" spans="11:12" ht="12.75">
      <c r="K1622" s="10">
        <f t="shared" si="227"/>
        <v>93</v>
      </c>
      <c r="L1622" s="10"/>
    </row>
  </sheetData>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I50"/>
  <sheetViews>
    <sheetView workbookViewId="0" topLeftCell="A1">
      <selection activeCell="D40" sqref="D40"/>
    </sheetView>
  </sheetViews>
  <sheetFormatPr defaultColWidth="11.00390625" defaultRowHeight="12.75"/>
  <cols>
    <col min="1" max="1" width="18.00390625" style="0" customWidth="1"/>
    <col min="4" max="4" width="10.125" style="0" customWidth="1"/>
    <col min="7" max="7" width="5.375" style="0" customWidth="1"/>
    <col min="8" max="8" width="5.00390625" style="0" customWidth="1"/>
  </cols>
  <sheetData>
    <row r="1" spans="1:2" ht="12.75">
      <c r="A1" t="s">
        <v>77</v>
      </c>
      <c r="B1" s="12">
        <v>2.5</v>
      </c>
    </row>
    <row r="2" ht="12.75">
      <c r="B2" s="12"/>
    </row>
    <row r="3" ht="12.75">
      <c r="B3" s="12"/>
    </row>
    <row r="4" ht="12.75">
      <c r="B4" s="12"/>
    </row>
    <row r="5" spans="1:2" ht="12.75">
      <c r="A5" s="14" t="s">
        <v>79</v>
      </c>
      <c r="B5" s="12"/>
    </row>
    <row r="6" ht="12.75">
      <c r="B6" s="12"/>
    </row>
    <row r="7" spans="2:6" ht="12.75">
      <c r="B7" s="9" t="s">
        <v>154</v>
      </c>
      <c r="C7" s="9" t="s">
        <v>155</v>
      </c>
      <c r="D7" s="9" t="s">
        <v>158</v>
      </c>
      <c r="E7" s="9" t="s">
        <v>159</v>
      </c>
      <c r="F7" s="9" t="s">
        <v>160</v>
      </c>
    </row>
    <row r="8" spans="2:6" ht="12.75">
      <c r="B8" s="9" t="s">
        <v>157</v>
      </c>
      <c r="C8" s="9" t="s">
        <v>157</v>
      </c>
      <c r="D8" s="9" t="s">
        <v>157</v>
      </c>
      <c r="E8" s="9" t="s">
        <v>157</v>
      </c>
      <c r="F8" s="9" t="s">
        <v>157</v>
      </c>
    </row>
    <row r="9" spans="1:6" ht="12.75">
      <c r="A9" t="s">
        <v>156</v>
      </c>
      <c r="B9" s="2">
        <f>6*2048*0.015+5*2</f>
        <v>194.32</v>
      </c>
      <c r="C9" s="11">
        <f>4096*2*0.015+2</f>
        <v>124.88</v>
      </c>
      <c r="D9">
        <v>0</v>
      </c>
      <c r="E9" s="2">
        <f>B9</f>
        <v>194.32</v>
      </c>
      <c r="F9" s="2">
        <f>C9</f>
        <v>124.88</v>
      </c>
    </row>
    <row r="11" spans="1:9" ht="12.75">
      <c r="A11" t="s">
        <v>162</v>
      </c>
      <c r="D11">
        <v>25</v>
      </c>
      <c r="E11" s="2">
        <f>E$9+$D11/$B$1</f>
        <v>204.32</v>
      </c>
      <c r="F11" s="2">
        <f>F$9+$D11/$B$1</f>
        <v>134.88</v>
      </c>
      <c r="I11" t="s">
        <v>78</v>
      </c>
    </row>
    <row r="13" spans="1:8" ht="12.75">
      <c r="A13" t="s">
        <v>161</v>
      </c>
      <c r="B13" s="2">
        <f>(8+5/8)*25.4</f>
        <v>219.075</v>
      </c>
      <c r="C13" s="2">
        <f>(6+5/8)*25.4</f>
        <v>168.27499999999998</v>
      </c>
      <c r="D13">
        <f>D11+10</f>
        <v>35</v>
      </c>
      <c r="E13" s="2">
        <f>E$9+$D13/$B$1</f>
        <v>208.32</v>
      </c>
      <c r="F13" s="2">
        <f>F$9+$D13/$B$1</f>
        <v>138.88</v>
      </c>
      <c r="G13" t="str">
        <f>IF(B13&gt;E13,"ok","problem")</f>
        <v>ok</v>
      </c>
      <c r="H13" t="str">
        <f>IF(C13&gt;F13,"ok","problem")</f>
        <v>ok</v>
      </c>
    </row>
    <row r="15" spans="1:8" ht="12.75">
      <c r="A15" t="s">
        <v>76</v>
      </c>
      <c r="B15" s="2">
        <f>25.4*(9+3/8)</f>
        <v>238.125</v>
      </c>
      <c r="C15" s="2">
        <f>25.4*6</f>
        <v>152.39999999999998</v>
      </c>
      <c r="D15">
        <v>60</v>
      </c>
      <c r="E15" s="2">
        <f>E$9+$D15/$B$1</f>
        <v>218.32</v>
      </c>
      <c r="F15" s="2">
        <f>F$9+$D15/$B$1</f>
        <v>148.88</v>
      </c>
      <c r="G15" t="str">
        <f>IF(B15&gt;E15,"ok","problem")</f>
        <v>ok</v>
      </c>
      <c r="H15" t="str">
        <f>IF(C15&gt;F15,"ok","problem")</f>
        <v>ok</v>
      </c>
    </row>
    <row r="18" ht="12.75">
      <c r="A18" s="14" t="s">
        <v>80</v>
      </c>
    </row>
    <row r="20" spans="2:5" ht="12.75">
      <c r="B20" s="9" t="s">
        <v>154</v>
      </c>
      <c r="C20" s="9" t="s">
        <v>155</v>
      </c>
      <c r="D20" s="9" t="s">
        <v>81</v>
      </c>
      <c r="E20" s="9" t="s">
        <v>83</v>
      </c>
    </row>
    <row r="21" spans="2:4" ht="12.75">
      <c r="B21" s="9" t="s">
        <v>86</v>
      </c>
      <c r="C21" s="9" t="s">
        <v>86</v>
      </c>
      <c r="D21" s="9" t="s">
        <v>82</v>
      </c>
    </row>
    <row r="23" spans="1:4" ht="12.75">
      <c r="A23" t="s">
        <v>88</v>
      </c>
      <c r="D23" s="4">
        <f>PI()*(24/39.37)^2</f>
        <v>1.167458701670772</v>
      </c>
    </row>
    <row r="25" spans="1:9" ht="12.75">
      <c r="A25" t="s">
        <v>85</v>
      </c>
      <c r="B25" s="17">
        <f>14/39.37</f>
        <v>0.35560071120142245</v>
      </c>
      <c r="C25" s="17">
        <f>14/39.37</f>
        <v>0.35560071120142245</v>
      </c>
      <c r="D25" s="13">
        <f>B25*C25</f>
        <v>0.12645186580695744</v>
      </c>
      <c r="E25" s="20">
        <f>D25/D$23</f>
        <v>0.10831378071531764</v>
      </c>
      <c r="I25" s="18"/>
    </row>
    <row r="26" ht="12.75">
      <c r="E26" s="21"/>
    </row>
    <row r="27" spans="1:5" ht="12.75">
      <c r="A27" t="s">
        <v>84</v>
      </c>
      <c r="B27" s="17">
        <f>16/39.37</f>
        <v>0.40640081280162565</v>
      </c>
      <c r="C27" s="17">
        <f>18/39.37</f>
        <v>0.4572009144018288</v>
      </c>
      <c r="D27" s="13">
        <f>B27*C27</f>
        <v>0.1858068232265497</v>
      </c>
      <c r="E27" s="20">
        <f>D27/D$23</f>
        <v>0.15915494309189532</v>
      </c>
    </row>
    <row r="28" ht="12.75">
      <c r="E28" s="21"/>
    </row>
    <row r="29" spans="1:9" ht="12.75">
      <c r="A29" t="s">
        <v>87</v>
      </c>
      <c r="B29" s="19">
        <f>MAX(B25,(120+E$13)/1000)</f>
        <v>0.35560071120142245</v>
      </c>
      <c r="C29" s="19">
        <f>((F13+10)*3+10)/1000</f>
        <v>0.45664</v>
      </c>
      <c r="D29" s="13">
        <f>B29*C29</f>
        <v>0.16238150876301755</v>
      </c>
      <c r="E29" s="20">
        <f>D29/D$23</f>
        <v>0.1390897241423875</v>
      </c>
      <c r="I29" s="12"/>
    </row>
    <row r="30" ht="12.75">
      <c r="E30" s="21"/>
    </row>
    <row r="31" spans="1:5" ht="12.75">
      <c r="A31" t="s">
        <v>142</v>
      </c>
      <c r="B31" s="17">
        <f>(120+E$13)/1000</f>
        <v>0.32832</v>
      </c>
      <c r="C31" s="17">
        <f>((F13/2+20)*3+10)/1000</f>
        <v>0.27832</v>
      </c>
      <c r="D31" s="13">
        <f>B31*C31</f>
        <v>0.09137802240000001</v>
      </c>
      <c r="E31" s="20">
        <f>D31/D$23</f>
        <v>0.07827088210420395</v>
      </c>
    </row>
    <row r="36" ht="12.75">
      <c r="A36" s="14" t="s">
        <v>143</v>
      </c>
    </row>
    <row r="37" spans="1:5" ht="12.75">
      <c r="A37" s="16" t="s">
        <v>30</v>
      </c>
      <c r="B37">
        <v>1</v>
      </c>
      <c r="C37">
        <v>1</v>
      </c>
      <c r="D37">
        <v>2</v>
      </c>
      <c r="E37">
        <v>2</v>
      </c>
    </row>
    <row r="38" spans="1:6" ht="12.75">
      <c r="A38" s="16" t="s">
        <v>144</v>
      </c>
      <c r="B38" s="1">
        <v>0.0001</v>
      </c>
      <c r="C38" s="1">
        <v>0.0001</v>
      </c>
      <c r="D38" s="1">
        <v>0.0001</v>
      </c>
      <c r="E38" s="1">
        <v>0.0001</v>
      </c>
      <c r="F38" t="s">
        <v>148</v>
      </c>
    </row>
    <row r="39" spans="1:6" ht="12.75">
      <c r="A39" s="16" t="s">
        <v>145</v>
      </c>
      <c r="B39" s="1">
        <v>6.5E-06</v>
      </c>
      <c r="C39" s="1">
        <v>3E-06</v>
      </c>
      <c r="D39" s="1">
        <f>B39</f>
        <v>6.5E-06</v>
      </c>
      <c r="E39" s="1">
        <f>C39</f>
        <v>3E-06</v>
      </c>
      <c r="F39" t="s">
        <v>148</v>
      </c>
    </row>
    <row r="40" spans="1:6" ht="12.75">
      <c r="A40" s="16" t="s">
        <v>149</v>
      </c>
      <c r="B40" s="10">
        <f>12*2048*4096/3600^2</f>
        <v>7.76722962962963</v>
      </c>
      <c r="C40" s="10">
        <f>12*2048*4096/3600^2</f>
        <v>7.76722962962963</v>
      </c>
      <c r="D40" s="10">
        <f>12*2048*4096/3600^2*21/24</f>
        <v>6.7963259259259265</v>
      </c>
      <c r="E40" s="10">
        <f>12*2048*4096/3600^2*21/24</f>
        <v>6.7963259259259265</v>
      </c>
      <c r="F40" s="15" t="s">
        <v>146</v>
      </c>
    </row>
    <row r="41" spans="1:6" ht="12.75">
      <c r="A41" s="16" t="s">
        <v>147</v>
      </c>
      <c r="B41" s="2">
        <f>4100*(B38+(9+2048+30)*B39)</f>
        <v>56.028549999999996</v>
      </c>
      <c r="C41" s="2">
        <f>4100*(C38+(9+2048+30)*C39)</f>
        <v>26.0801</v>
      </c>
      <c r="D41" s="2">
        <f>4100*(D38+(9+1024+30)*D39)</f>
        <v>28.73895</v>
      </c>
      <c r="E41" s="2">
        <f>4100*(E38+(9+1024+30)*E39)</f>
        <v>13.4849</v>
      </c>
      <c r="F41" t="s">
        <v>148</v>
      </c>
    </row>
    <row r="43" spans="1:5" ht="12.75">
      <c r="A43" s="22" t="s">
        <v>29</v>
      </c>
      <c r="B43" s="22" t="s">
        <v>31</v>
      </c>
      <c r="C43" s="22" t="s">
        <v>31</v>
      </c>
      <c r="D43" s="22" t="s">
        <v>31</v>
      </c>
      <c r="E43" s="22" t="s">
        <v>31</v>
      </c>
    </row>
    <row r="44" spans="1:5" ht="12.75">
      <c r="A44" s="23">
        <v>25</v>
      </c>
      <c r="B44" s="2">
        <f aca="true" t="shared" si="0" ref="B44:E45">3600/($A44+B$41)*B$40</f>
        <v>345.0885726903254</v>
      </c>
      <c r="C44" s="2">
        <f t="shared" si="0"/>
        <v>547.4152686988997</v>
      </c>
      <c r="D44" s="2">
        <f t="shared" si="0"/>
        <v>455.2893819721698</v>
      </c>
      <c r="E44" s="2">
        <f t="shared" si="0"/>
        <v>635.7499521457335</v>
      </c>
    </row>
    <row r="45" spans="1:5" ht="12.75">
      <c r="A45">
        <v>50</v>
      </c>
      <c r="B45" s="2">
        <f t="shared" si="0"/>
        <v>263.7216737064373</v>
      </c>
      <c r="C45" s="2">
        <f t="shared" si="0"/>
        <v>367.5340419724299</v>
      </c>
      <c r="D45" s="2">
        <f t="shared" si="0"/>
        <v>310.73278642061314</v>
      </c>
      <c r="E45" s="2">
        <f t="shared" si="0"/>
        <v>385.3951622091763</v>
      </c>
    </row>
    <row r="46" spans="1:5" ht="12.75">
      <c r="A46">
        <v>75</v>
      </c>
      <c r="B46" s="2">
        <f aca="true" t="shared" si="1" ref="B46:D50">3600/($A46+B$41)*B$40</f>
        <v>213.40407618543185</v>
      </c>
      <c r="C46" s="2">
        <f t="shared" si="1"/>
        <v>276.63236054046905</v>
      </c>
      <c r="D46" s="2">
        <f t="shared" si="1"/>
        <v>235.84944067135183</v>
      </c>
      <c r="E46" s="2">
        <f>3600/($A46+E$41)*E$40</f>
        <v>276.5078938138975</v>
      </c>
    </row>
    <row r="47" spans="1:5" ht="12.75">
      <c r="A47">
        <v>100</v>
      </c>
      <c r="B47" s="2">
        <f t="shared" si="1"/>
        <v>179.2109627799955</v>
      </c>
      <c r="C47" s="2">
        <f t="shared" si="1"/>
        <v>221.77985793687242</v>
      </c>
      <c r="D47" s="2">
        <f t="shared" si="1"/>
        <v>190.0495019831476</v>
      </c>
      <c r="E47" s="2">
        <f>3600/($A47+E$41)*E$40</f>
        <v>215.59496755368633</v>
      </c>
    </row>
    <row r="48" spans="1:5" ht="12.75">
      <c r="A48">
        <v>150</v>
      </c>
      <c r="B48" s="2">
        <f t="shared" si="1"/>
        <v>135.71918390274877</v>
      </c>
      <c r="C48" s="2">
        <f t="shared" si="1"/>
        <v>158.8028781598072</v>
      </c>
      <c r="D48" s="2">
        <f t="shared" si="1"/>
        <v>136.88551562674692</v>
      </c>
      <c r="E48" s="2">
        <f>3600/($A48+E$41)*E$40</f>
        <v>149.65769519590697</v>
      </c>
    </row>
    <row r="49" spans="1:5" ht="12.75">
      <c r="A49">
        <v>200</v>
      </c>
      <c r="B49" s="2">
        <f t="shared" si="1"/>
        <v>109.21448669168602</v>
      </c>
      <c r="C49" s="2">
        <f t="shared" si="1"/>
        <v>123.68194576465008</v>
      </c>
      <c r="D49" s="2">
        <f t="shared" si="1"/>
        <v>106.96373894054045</v>
      </c>
      <c r="E49" s="2">
        <f>3600/($A49+E$41)*E$40</f>
        <v>114.60657560948495</v>
      </c>
    </row>
    <row r="50" spans="1:5" ht="12.75">
      <c r="A50">
        <v>250</v>
      </c>
      <c r="B50" s="2">
        <f t="shared" si="1"/>
        <v>91.37064717218921</v>
      </c>
      <c r="C50" s="2">
        <f t="shared" si="1"/>
        <v>101.28229693725359</v>
      </c>
      <c r="D50" s="2">
        <f t="shared" si="1"/>
        <v>87.77665745434334</v>
      </c>
      <c r="E50" s="2">
        <f>3600/($A50+E$41)*E$40</f>
        <v>92.85835102251907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Smith</dc:creator>
  <cp:keywords/>
  <dc:description/>
  <cp:lastModifiedBy>Roger Smith</cp:lastModifiedBy>
  <dcterms:created xsi:type="dcterms:W3CDTF">2007-01-25T19:17:07Z</dcterms:created>
  <cp:category/>
  <cp:version/>
  <cp:contentType/>
  <cp:contentStatus/>
</cp:coreProperties>
</file>