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095" windowHeight="10860" activeTab="0"/>
  </bookViews>
  <sheets>
    <sheet name="NGAO Plan" sheetId="1" r:id="rId1"/>
    <sheet name="WMKO FY09 Pla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<sst xmlns="http://schemas.openxmlformats.org/spreadsheetml/2006/main" count="125" uniqueCount="77">
  <si>
    <t>Adkins</t>
  </si>
  <si>
    <t>Bell</t>
  </si>
  <si>
    <t>Bouchez</t>
  </si>
  <si>
    <t>COO</t>
  </si>
  <si>
    <t>Chin</t>
  </si>
  <si>
    <t>WMKO</t>
  </si>
  <si>
    <t>Chock</t>
  </si>
  <si>
    <t>Dekany</t>
  </si>
  <si>
    <t>Electrical Engineer / Programmer</t>
  </si>
  <si>
    <t>UCO</t>
  </si>
  <si>
    <t>Free</t>
  </si>
  <si>
    <t>Gavel</t>
  </si>
  <si>
    <t>Hale</t>
  </si>
  <si>
    <t>Johansson</t>
  </si>
  <si>
    <t>Kissner</t>
  </si>
  <si>
    <t>Kupke</t>
  </si>
  <si>
    <t>Le Mignant</t>
  </si>
  <si>
    <t>Lockwood</t>
  </si>
  <si>
    <t>Macintosh</t>
  </si>
  <si>
    <t>Max</t>
  </si>
  <si>
    <t>McGrath</t>
  </si>
  <si>
    <t>Medeiros</t>
  </si>
  <si>
    <t>Morrison</t>
  </si>
  <si>
    <t>Nance</t>
  </si>
  <si>
    <t>Neyman</t>
  </si>
  <si>
    <t>Other</t>
  </si>
  <si>
    <t>Panteleev</t>
  </si>
  <si>
    <t>Reinig</t>
  </si>
  <si>
    <t>Summers</t>
  </si>
  <si>
    <t>Tyau</t>
  </si>
  <si>
    <t>Velur</t>
  </si>
  <si>
    <t>Wetherell</t>
  </si>
  <si>
    <t>Wizinowich</t>
  </si>
  <si>
    <t>Doyle</t>
  </si>
  <si>
    <t>Grace</t>
  </si>
  <si>
    <t>Mogensen</t>
  </si>
  <si>
    <t>Contract Administrator</t>
  </si>
  <si>
    <t>FY08</t>
  </si>
  <si>
    <t>FY09</t>
  </si>
  <si>
    <t>FY10</t>
  </si>
  <si>
    <t>Total (hrs) =</t>
  </si>
  <si>
    <t>Work (hrs) by Institution</t>
  </si>
  <si>
    <t>Work (hrs) by FY</t>
  </si>
  <si>
    <t>Total (PY) =</t>
  </si>
  <si>
    <t>Name</t>
  </si>
  <si>
    <t>Work</t>
  </si>
  <si>
    <t>PY</t>
  </si>
  <si>
    <t>Work %</t>
  </si>
  <si>
    <t>Total</t>
  </si>
  <si>
    <t>Budget ($k) =</t>
  </si>
  <si>
    <t>Total Labor ($k) =</t>
  </si>
  <si>
    <t>Brown</t>
  </si>
  <si>
    <t>Student/Postdoc</t>
  </si>
  <si>
    <t>Institution</t>
  </si>
  <si>
    <t>Free (WMKO)</t>
  </si>
  <si>
    <t>Work (hours)</t>
  </si>
  <si>
    <t>Free (Max + WMKO)</t>
  </si>
  <si>
    <t>Labor Total =</t>
  </si>
  <si>
    <t>Cost ($k)</t>
  </si>
  <si>
    <t>Procurements ($k)</t>
  </si>
  <si>
    <t>Travel ($k)</t>
  </si>
  <si>
    <t>Labor &amp; Non-Labor Total ($k) =</t>
  </si>
  <si>
    <t>Contingency ($k)</t>
  </si>
  <si>
    <t>Total ($k) =</t>
  </si>
  <si>
    <t>Available ($k) =</t>
  </si>
  <si>
    <t>Available - Total ($k) =</t>
  </si>
  <si>
    <t xml:space="preserve">FY09 ObsPlan </t>
  </si>
  <si>
    <t>McBride</t>
  </si>
  <si>
    <t>Johnson</t>
  </si>
  <si>
    <t>ObsPlan - SEMP</t>
  </si>
  <si>
    <t>250h of PW Obs Activities; SA?</t>
  </si>
  <si>
    <t>Notes for FY09</t>
  </si>
  <si>
    <t>COO ME</t>
  </si>
  <si>
    <t>Lu</t>
  </si>
  <si>
    <t>Stomski</t>
  </si>
  <si>
    <t>Tolleth</t>
  </si>
  <si>
    <t>WMKO FE (new)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</si>
</sst>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O27" sqref="O27"/>
    </sheetView>
  </sheetViews>
  <sheetFormatPr defaultColWidth="9.140625" defaultRowHeight="12.75"/>
  <cols>
    <col min="1" max="1" width="18.421875" style="0" customWidth="1"/>
    <col min="2" max="4" width="6.7109375" style="1" customWidth="1"/>
    <col min="5" max="13" width="6.7109375" style="0" customWidth="1"/>
    <col min="14" max="14" width="6.7109375" style="3" customWidth="1"/>
  </cols>
  <sheetData>
    <row r="1" spans="1:14" s="5" customFormat="1" ht="12.75">
      <c r="A1" s="15" t="s">
        <v>44</v>
      </c>
      <c r="B1" s="16" t="s">
        <v>42</v>
      </c>
      <c r="C1" s="16"/>
      <c r="D1" s="16"/>
      <c r="E1" s="15" t="s">
        <v>41</v>
      </c>
      <c r="F1" s="15"/>
      <c r="G1" s="15"/>
      <c r="H1" s="15"/>
      <c r="I1" s="15"/>
      <c r="J1" s="5" t="s">
        <v>45</v>
      </c>
      <c r="K1" s="15" t="s">
        <v>47</v>
      </c>
      <c r="L1" s="15"/>
      <c r="M1" s="15"/>
      <c r="N1" s="15"/>
    </row>
    <row r="2" spans="1:14" s="5" customFormat="1" ht="12.75">
      <c r="A2" s="15"/>
      <c r="B2" s="6" t="s">
        <v>37</v>
      </c>
      <c r="C2" s="6" t="s">
        <v>38</v>
      </c>
      <c r="D2" s="6" t="s">
        <v>39</v>
      </c>
      <c r="E2" s="5" t="s">
        <v>5</v>
      </c>
      <c r="F2" s="5" t="s">
        <v>3</v>
      </c>
      <c r="G2" s="5" t="s">
        <v>9</v>
      </c>
      <c r="H2" s="5" t="s">
        <v>10</v>
      </c>
      <c r="I2" s="5" t="s">
        <v>25</v>
      </c>
      <c r="J2" s="5" t="s">
        <v>46</v>
      </c>
      <c r="K2" s="5" t="s">
        <v>37</v>
      </c>
      <c r="L2" s="5" t="s">
        <v>38</v>
      </c>
      <c r="M2" s="5" t="s">
        <v>39</v>
      </c>
      <c r="N2" s="5" t="s">
        <v>48</v>
      </c>
    </row>
    <row r="3" spans="1:14" ht="12.75">
      <c r="A3" t="s">
        <v>0</v>
      </c>
      <c r="B3" s="4">
        <v>292.02</v>
      </c>
      <c r="C3" s="4">
        <v>523.57</v>
      </c>
      <c r="D3" s="4">
        <v>45.42</v>
      </c>
      <c r="E3" s="4">
        <f>SUM(B3:D3)</f>
        <v>861.01</v>
      </c>
      <c r="F3" s="3"/>
      <c r="G3" s="3"/>
      <c r="H3" s="3"/>
      <c r="I3" s="3"/>
      <c r="J3" s="8">
        <f>SUM(B3:D3)/1800</f>
        <v>0.47833888888888887</v>
      </c>
      <c r="K3" s="9">
        <f>B3/(1800*5/12)</f>
        <v>0.38936</v>
      </c>
      <c r="L3" s="9">
        <f>C3/1800</f>
        <v>0.29087222222222225</v>
      </c>
      <c r="M3" s="9">
        <f>D3/(1800*5/12)</f>
        <v>0.06056</v>
      </c>
      <c r="N3" s="9">
        <f>J3*1800/3300</f>
        <v>0.2609121212121212</v>
      </c>
    </row>
    <row r="4" spans="1:14" ht="12.75">
      <c r="A4" t="s">
        <v>1</v>
      </c>
      <c r="B4" s="4"/>
      <c r="C4" s="4">
        <v>607.7</v>
      </c>
      <c r="D4" s="4">
        <v>143.3</v>
      </c>
      <c r="E4" s="4">
        <f>SUM(B4:D4)</f>
        <v>751</v>
      </c>
      <c r="F4" s="3"/>
      <c r="G4" s="3"/>
      <c r="H4" s="3"/>
      <c r="I4" s="3"/>
      <c r="J4" s="8">
        <f aca="true" t="shared" si="0" ref="J4:J42">SUM(B4:D4)/1800</f>
        <v>0.4172222222222222</v>
      </c>
      <c r="K4" s="9">
        <f aca="true" t="shared" si="1" ref="K4:K42">B4/(1800*5/12)</f>
        <v>0</v>
      </c>
      <c r="L4" s="9">
        <f aca="true" t="shared" si="2" ref="L4:L42">C4/1800</f>
        <v>0.33761111111111114</v>
      </c>
      <c r="M4" s="9">
        <f aca="true" t="shared" si="3" ref="M4:M42">D4/(1800*5/12)</f>
        <v>0.1910666666666667</v>
      </c>
      <c r="N4" s="9">
        <f aca="true" t="shared" si="4" ref="N4:N42">J4*1800/3300</f>
        <v>0.22757575757575757</v>
      </c>
    </row>
    <row r="5" spans="1:14" ht="12.75">
      <c r="A5" t="s">
        <v>2</v>
      </c>
      <c r="B5" s="4">
        <v>40</v>
      </c>
      <c r="C5" s="4">
        <v>120</v>
      </c>
      <c r="D5" s="4"/>
      <c r="E5" s="3"/>
      <c r="F5" s="4">
        <f>SUM(B5:D5)</f>
        <v>160</v>
      </c>
      <c r="G5" s="3"/>
      <c r="H5" s="3"/>
      <c r="I5" s="3"/>
      <c r="J5" s="8">
        <f t="shared" si="0"/>
        <v>0.08888888888888889</v>
      </c>
      <c r="K5" s="9">
        <f t="shared" si="1"/>
        <v>0.05333333333333334</v>
      </c>
      <c r="L5" s="9">
        <f t="shared" si="2"/>
        <v>0.06666666666666667</v>
      </c>
      <c r="M5" s="9">
        <f t="shared" si="3"/>
        <v>0</v>
      </c>
      <c r="N5" s="9">
        <f t="shared" si="4"/>
        <v>0.048484848484848485</v>
      </c>
    </row>
    <row r="6" spans="1:14" ht="12.75">
      <c r="A6" t="s">
        <v>51</v>
      </c>
      <c r="B6" s="4"/>
      <c r="C6" s="4"/>
      <c r="D6" s="4">
        <v>40</v>
      </c>
      <c r="E6" s="3"/>
      <c r="F6" s="4">
        <f>SUM(B6:D6)</f>
        <v>40</v>
      </c>
      <c r="G6" s="3"/>
      <c r="H6" s="3"/>
      <c r="I6" s="3"/>
      <c r="J6" s="8">
        <f>SUM(B6:D6)/1800</f>
        <v>0.022222222222222223</v>
      </c>
      <c r="K6" s="9">
        <f>B6/(1800*5/12)</f>
        <v>0</v>
      </c>
      <c r="L6" s="9">
        <f>C6/1800</f>
        <v>0</v>
      </c>
      <c r="M6" s="9">
        <f>D6/(1800*5/12)</f>
        <v>0.05333333333333334</v>
      </c>
      <c r="N6" s="9">
        <f>J6*1800/3300</f>
        <v>0.012121212121212121</v>
      </c>
    </row>
    <row r="7" spans="1:14" ht="12.75">
      <c r="A7" t="s">
        <v>4</v>
      </c>
      <c r="B7" s="4"/>
      <c r="C7" s="4">
        <v>398</v>
      </c>
      <c r="D7" s="4">
        <v>80</v>
      </c>
      <c r="E7" s="4">
        <f>SUM(B7:D7)</f>
        <v>478</v>
      </c>
      <c r="F7" s="3"/>
      <c r="G7" s="3"/>
      <c r="H7" s="3"/>
      <c r="I7" s="3"/>
      <c r="J7" s="8">
        <f t="shared" si="0"/>
        <v>0.26555555555555554</v>
      </c>
      <c r="K7" s="9">
        <f t="shared" si="1"/>
        <v>0</v>
      </c>
      <c r="L7" s="9">
        <f t="shared" si="2"/>
        <v>0.22111111111111112</v>
      </c>
      <c r="M7" s="9">
        <f t="shared" si="3"/>
        <v>0.10666666666666667</v>
      </c>
      <c r="N7" s="9">
        <f t="shared" si="4"/>
        <v>0.14484848484848484</v>
      </c>
    </row>
    <row r="8" spans="1:14" ht="12.75">
      <c r="A8" t="s">
        <v>6</v>
      </c>
      <c r="B8" s="4">
        <v>28.83</v>
      </c>
      <c r="C8" s="4">
        <v>121.4</v>
      </c>
      <c r="D8" s="4">
        <v>69.77</v>
      </c>
      <c r="E8" s="4">
        <f>SUM(B8:D8)</f>
        <v>220</v>
      </c>
      <c r="F8" s="3"/>
      <c r="G8" s="3"/>
      <c r="H8" s="3"/>
      <c r="I8" s="3"/>
      <c r="J8" s="8">
        <f t="shared" si="0"/>
        <v>0.12222222222222222</v>
      </c>
      <c r="K8" s="9">
        <f t="shared" si="1"/>
        <v>0.038439999999999995</v>
      </c>
      <c r="L8" s="9">
        <f t="shared" si="2"/>
        <v>0.06744444444444445</v>
      </c>
      <c r="M8" s="9">
        <f t="shared" si="3"/>
        <v>0.09302666666666666</v>
      </c>
      <c r="N8" s="9">
        <f t="shared" si="4"/>
        <v>0.06666666666666667</v>
      </c>
    </row>
    <row r="9" spans="1:14" ht="12.75">
      <c r="A9" t="s">
        <v>36</v>
      </c>
      <c r="B9" s="4">
        <v>18.28</v>
      </c>
      <c r="C9" s="4">
        <v>43.77</v>
      </c>
      <c r="D9" s="4">
        <v>17.95</v>
      </c>
      <c r="E9" s="4">
        <f>SUM(B9:D9)</f>
        <v>80</v>
      </c>
      <c r="F9" s="3"/>
      <c r="G9" s="3"/>
      <c r="H9" s="3"/>
      <c r="I9" s="3"/>
      <c r="J9" s="8">
        <f t="shared" si="0"/>
        <v>0.044444444444444446</v>
      </c>
      <c r="K9" s="9">
        <f t="shared" si="1"/>
        <v>0.024373333333333334</v>
      </c>
      <c r="L9" s="9">
        <f t="shared" si="2"/>
        <v>0.024316666666666667</v>
      </c>
      <c r="M9" s="9">
        <f t="shared" si="3"/>
        <v>0.02393333333333333</v>
      </c>
      <c r="N9" s="9">
        <f t="shared" si="4"/>
        <v>0.024242424242424242</v>
      </c>
    </row>
    <row r="10" spans="1:14" ht="12.75">
      <c r="A10" t="s">
        <v>72</v>
      </c>
      <c r="B10" s="4">
        <v>403</v>
      </c>
      <c r="C10" s="4">
        <v>1212</v>
      </c>
      <c r="D10" s="4">
        <v>88</v>
      </c>
      <c r="E10" s="4"/>
      <c r="F10" s="4">
        <f>SUM(B10:D10)</f>
        <v>1703</v>
      </c>
      <c r="G10" s="3"/>
      <c r="H10" s="3"/>
      <c r="I10" s="3"/>
      <c r="J10" s="8">
        <f t="shared" si="0"/>
        <v>0.9461111111111111</v>
      </c>
      <c r="K10" s="9">
        <f t="shared" si="1"/>
        <v>0.5373333333333333</v>
      </c>
      <c r="L10" s="9">
        <f t="shared" si="2"/>
        <v>0.6733333333333333</v>
      </c>
      <c r="M10" s="9">
        <f t="shared" si="3"/>
        <v>0.11733333333333333</v>
      </c>
      <c r="N10" s="9">
        <f t="shared" si="4"/>
        <v>0.5160606060606061</v>
      </c>
    </row>
    <row r="11" spans="1:14" ht="12.75">
      <c r="A11" s="12" t="s">
        <v>7</v>
      </c>
      <c r="B11" s="4">
        <v>464</v>
      </c>
      <c r="C11" s="4">
        <v>726</v>
      </c>
      <c r="D11" s="4">
        <v>487</v>
      </c>
      <c r="E11" s="3"/>
      <c r="F11" s="4">
        <f>SUM(B11:D11)</f>
        <v>1677</v>
      </c>
      <c r="G11" s="3"/>
      <c r="H11" s="3"/>
      <c r="I11" s="3"/>
      <c r="J11" s="8">
        <f t="shared" si="0"/>
        <v>0.9316666666666666</v>
      </c>
      <c r="K11" s="11">
        <f t="shared" si="1"/>
        <v>0.6186666666666667</v>
      </c>
      <c r="L11" s="9">
        <f t="shared" si="2"/>
        <v>0.4033333333333333</v>
      </c>
      <c r="M11" s="9">
        <f t="shared" si="3"/>
        <v>0.6493333333333333</v>
      </c>
      <c r="N11" s="13">
        <f t="shared" si="4"/>
        <v>0.5081818181818182</v>
      </c>
    </row>
    <row r="12" spans="1:14" ht="12.75">
      <c r="A12" t="s">
        <v>33</v>
      </c>
      <c r="B12" s="4"/>
      <c r="C12" s="4"/>
      <c r="D12" s="4">
        <v>16</v>
      </c>
      <c r="E12" s="4">
        <f>SUM(B12:D12)</f>
        <v>16</v>
      </c>
      <c r="F12" s="3"/>
      <c r="G12" s="3"/>
      <c r="H12" s="3"/>
      <c r="I12" s="3"/>
      <c r="J12" s="8">
        <f t="shared" si="0"/>
        <v>0.008888888888888889</v>
      </c>
      <c r="K12" s="9">
        <f t="shared" si="1"/>
        <v>0</v>
      </c>
      <c r="L12" s="9">
        <f t="shared" si="2"/>
        <v>0</v>
      </c>
      <c r="M12" s="9">
        <f t="shared" si="3"/>
        <v>0.021333333333333333</v>
      </c>
      <c r="N12" s="13">
        <f t="shared" si="4"/>
        <v>0.0048484848484848485</v>
      </c>
    </row>
    <row r="13" spans="1:14" ht="12.75">
      <c r="A13" s="12" t="s">
        <v>8</v>
      </c>
      <c r="B13" s="4">
        <v>406.6</v>
      </c>
      <c r="C13" s="4">
        <v>1820.15</v>
      </c>
      <c r="D13" s="4">
        <v>347.27</v>
      </c>
      <c r="E13" s="3"/>
      <c r="F13" s="3"/>
      <c r="G13" s="4">
        <f>SUM(B13:D13)</f>
        <v>2574.02</v>
      </c>
      <c r="H13" s="3"/>
      <c r="I13" s="3"/>
      <c r="J13" s="8">
        <f t="shared" si="0"/>
        <v>1.4300111111111111</v>
      </c>
      <c r="K13" s="11">
        <f t="shared" si="1"/>
        <v>0.5421333333333334</v>
      </c>
      <c r="L13" s="11">
        <f t="shared" si="2"/>
        <v>1.0111944444444445</v>
      </c>
      <c r="M13" s="9">
        <f t="shared" si="3"/>
        <v>0.46302666666666664</v>
      </c>
      <c r="N13" s="13">
        <f t="shared" si="4"/>
        <v>0.7800060606060606</v>
      </c>
    </row>
    <row r="14" spans="1:14" ht="12.75">
      <c r="A14" t="s">
        <v>54</v>
      </c>
      <c r="B14" s="4">
        <v>20</v>
      </c>
      <c r="C14" s="4">
        <v>400</v>
      </c>
      <c r="D14" s="4"/>
      <c r="E14" s="3"/>
      <c r="F14" s="3"/>
      <c r="G14" s="3"/>
      <c r="H14" s="4">
        <f>SUM(B14:D14)</f>
        <v>420</v>
      </c>
      <c r="I14" s="3"/>
      <c r="J14" s="8">
        <f t="shared" si="0"/>
        <v>0.23333333333333334</v>
      </c>
      <c r="K14" s="9">
        <f t="shared" si="1"/>
        <v>0.02666666666666667</v>
      </c>
      <c r="L14" s="9">
        <f t="shared" si="2"/>
        <v>0.2222222222222222</v>
      </c>
      <c r="M14" s="9">
        <f t="shared" si="3"/>
        <v>0</v>
      </c>
      <c r="N14" s="13">
        <f t="shared" si="4"/>
        <v>0.12727272727272726</v>
      </c>
    </row>
    <row r="15" spans="1:14" ht="12.75">
      <c r="A15" t="s">
        <v>11</v>
      </c>
      <c r="B15" s="4">
        <v>281</v>
      </c>
      <c r="C15" s="4">
        <v>728</v>
      </c>
      <c r="D15" s="4">
        <v>364</v>
      </c>
      <c r="E15" s="3"/>
      <c r="F15" s="3"/>
      <c r="G15" s="4">
        <f>SUM(B15:D15)</f>
        <v>1373</v>
      </c>
      <c r="H15" s="3"/>
      <c r="I15" s="3"/>
      <c r="J15" s="8">
        <f t="shared" si="0"/>
        <v>0.7627777777777778</v>
      </c>
      <c r="K15" s="9">
        <f t="shared" si="1"/>
        <v>0.37466666666666665</v>
      </c>
      <c r="L15" s="9">
        <f t="shared" si="2"/>
        <v>0.40444444444444444</v>
      </c>
      <c r="M15" s="9">
        <f t="shared" si="3"/>
        <v>0.48533333333333334</v>
      </c>
      <c r="N15" s="13">
        <f t="shared" si="4"/>
        <v>0.4160606060606061</v>
      </c>
    </row>
    <row r="16" spans="1:14" ht="12.75">
      <c r="A16" t="s">
        <v>34</v>
      </c>
      <c r="B16" s="4"/>
      <c r="C16" s="4"/>
      <c r="D16" s="4">
        <v>16</v>
      </c>
      <c r="E16" s="4">
        <f aca="true" t="shared" si="5" ref="E16:E22">SUM(B16:D16)</f>
        <v>16</v>
      </c>
      <c r="F16" s="3"/>
      <c r="G16" s="3"/>
      <c r="H16" s="3"/>
      <c r="I16" s="3"/>
      <c r="J16" s="8">
        <f t="shared" si="0"/>
        <v>0.008888888888888889</v>
      </c>
      <c r="K16" s="9">
        <f t="shared" si="1"/>
        <v>0</v>
      </c>
      <c r="L16" s="9">
        <f t="shared" si="2"/>
        <v>0</v>
      </c>
      <c r="M16" s="9">
        <f t="shared" si="3"/>
        <v>0.021333333333333333</v>
      </c>
      <c r="N16" s="13">
        <f t="shared" si="4"/>
        <v>0.0048484848484848485</v>
      </c>
    </row>
    <row r="17" spans="1:14" ht="12.75">
      <c r="A17" t="s">
        <v>12</v>
      </c>
      <c r="B17" s="4">
        <v>48</v>
      </c>
      <c r="C17" s="4">
        <v>528</v>
      </c>
      <c r="D17" s="4">
        <v>55</v>
      </c>
      <c r="E17" s="3"/>
      <c r="F17" s="4">
        <f>SUM(B17:D17)</f>
        <v>631</v>
      </c>
      <c r="G17" s="3"/>
      <c r="H17" s="3"/>
      <c r="I17" s="3"/>
      <c r="J17" s="8">
        <f t="shared" si="0"/>
        <v>0.35055555555555556</v>
      </c>
      <c r="K17" s="9">
        <f t="shared" si="1"/>
        <v>0.064</v>
      </c>
      <c r="L17" s="9">
        <f t="shared" si="2"/>
        <v>0.29333333333333333</v>
      </c>
      <c r="M17" s="9">
        <f t="shared" si="3"/>
        <v>0.07333333333333333</v>
      </c>
      <c r="N17" s="13">
        <f t="shared" si="4"/>
        <v>0.19121212121212122</v>
      </c>
    </row>
    <row r="18" spans="1:14" ht="12.75">
      <c r="A18" s="12" t="s">
        <v>13</v>
      </c>
      <c r="B18" s="10">
        <v>262</v>
      </c>
      <c r="C18" s="4">
        <v>1178</v>
      </c>
      <c r="D18" s="4">
        <v>396</v>
      </c>
      <c r="E18" s="4">
        <f t="shared" si="5"/>
        <v>1836</v>
      </c>
      <c r="F18" s="3"/>
      <c r="G18" s="3"/>
      <c r="H18" s="3"/>
      <c r="I18" s="3"/>
      <c r="J18" s="8">
        <f t="shared" si="0"/>
        <v>1.02</v>
      </c>
      <c r="K18" s="9">
        <f t="shared" si="1"/>
        <v>0.34933333333333333</v>
      </c>
      <c r="L18" s="11">
        <f t="shared" si="2"/>
        <v>0.6544444444444445</v>
      </c>
      <c r="M18" s="9">
        <f t="shared" si="3"/>
        <v>0.528</v>
      </c>
      <c r="N18" s="13">
        <f t="shared" si="4"/>
        <v>0.5563636363636364</v>
      </c>
    </row>
    <row r="19" spans="1:14" ht="12.75">
      <c r="A19" s="12" t="s">
        <v>68</v>
      </c>
      <c r="B19" s="10">
        <v>205</v>
      </c>
      <c r="C19" s="4">
        <v>152</v>
      </c>
      <c r="D19" s="4">
        <v>7</v>
      </c>
      <c r="E19" s="4">
        <f t="shared" si="5"/>
        <v>364</v>
      </c>
      <c r="F19" s="3"/>
      <c r="G19" s="3"/>
      <c r="H19" s="3"/>
      <c r="I19" s="3"/>
      <c r="J19" s="8">
        <f t="shared" si="0"/>
        <v>0.20222222222222222</v>
      </c>
      <c r="K19" s="9">
        <f t="shared" si="1"/>
        <v>0.2733333333333333</v>
      </c>
      <c r="L19" s="11">
        <f t="shared" si="2"/>
        <v>0.08444444444444445</v>
      </c>
      <c r="M19" s="9">
        <f t="shared" si="3"/>
        <v>0.009333333333333334</v>
      </c>
      <c r="N19" s="13">
        <f t="shared" si="4"/>
        <v>0.1103030303030303</v>
      </c>
    </row>
    <row r="20" spans="1:14" ht="12.75">
      <c r="A20" t="s">
        <v>14</v>
      </c>
      <c r="B20" s="4">
        <v>57.32</v>
      </c>
      <c r="C20" s="4">
        <v>140.68</v>
      </c>
      <c r="D20" s="4"/>
      <c r="E20" s="4">
        <f t="shared" si="5"/>
        <v>198</v>
      </c>
      <c r="F20" s="3"/>
      <c r="G20" s="3"/>
      <c r="H20" s="3"/>
      <c r="I20" s="3"/>
      <c r="J20" s="8">
        <f t="shared" si="0"/>
        <v>0.11</v>
      </c>
      <c r="K20" s="9">
        <f t="shared" si="1"/>
        <v>0.07642666666666667</v>
      </c>
      <c r="L20" s="9">
        <f t="shared" si="2"/>
        <v>0.07815555555555556</v>
      </c>
      <c r="M20" s="9">
        <f t="shared" si="3"/>
        <v>0</v>
      </c>
      <c r="N20" s="13">
        <f t="shared" si="4"/>
        <v>0.06</v>
      </c>
    </row>
    <row r="21" spans="1:14" ht="12.75">
      <c r="A21" t="s">
        <v>15</v>
      </c>
      <c r="B21" s="4">
        <v>95.4</v>
      </c>
      <c r="C21" s="4">
        <v>674.6</v>
      </c>
      <c r="D21" s="4">
        <v>56</v>
      </c>
      <c r="E21" s="3"/>
      <c r="F21" s="3"/>
      <c r="G21" s="4">
        <f>SUM(B21:D21)</f>
        <v>826</v>
      </c>
      <c r="H21" s="3"/>
      <c r="I21" s="3"/>
      <c r="J21" s="8">
        <f t="shared" si="0"/>
        <v>0.4588888888888889</v>
      </c>
      <c r="K21" s="9">
        <f t="shared" si="1"/>
        <v>0.1272</v>
      </c>
      <c r="L21" s="9">
        <f t="shared" si="2"/>
        <v>0.37477777777777777</v>
      </c>
      <c r="M21" s="9">
        <f t="shared" si="3"/>
        <v>0.07466666666666667</v>
      </c>
      <c r="N21" s="13">
        <f t="shared" si="4"/>
        <v>0.2503030303030303</v>
      </c>
    </row>
    <row r="22" spans="1:14" ht="12.75">
      <c r="A22" s="12" t="s">
        <v>16</v>
      </c>
      <c r="B22" s="4">
        <v>603.45</v>
      </c>
      <c r="C22" s="4">
        <v>1843</v>
      </c>
      <c r="D22" s="4">
        <v>637.7</v>
      </c>
      <c r="E22" s="4">
        <f t="shared" si="5"/>
        <v>3084.1499999999996</v>
      </c>
      <c r="F22" s="3"/>
      <c r="G22" s="3"/>
      <c r="H22" s="3"/>
      <c r="I22" s="3"/>
      <c r="J22" s="8">
        <f t="shared" si="0"/>
        <v>1.7134166666666664</v>
      </c>
      <c r="K22" s="9">
        <f t="shared" si="1"/>
        <v>0.8046000000000001</v>
      </c>
      <c r="L22" s="11">
        <f t="shared" si="2"/>
        <v>1.0238888888888888</v>
      </c>
      <c r="M22" s="9">
        <f t="shared" si="3"/>
        <v>0.8502666666666667</v>
      </c>
      <c r="N22" s="13">
        <f t="shared" si="4"/>
        <v>0.934590909090909</v>
      </c>
    </row>
    <row r="23" spans="1:14" ht="12.75">
      <c r="A23" t="s">
        <v>17</v>
      </c>
      <c r="B23" s="4">
        <v>138.6</v>
      </c>
      <c r="C23" s="4">
        <v>924.4</v>
      </c>
      <c r="D23" s="4">
        <v>117.97</v>
      </c>
      <c r="E23" s="3"/>
      <c r="F23" s="3"/>
      <c r="G23" s="4">
        <f>SUM(B23:D23)</f>
        <v>1180.97</v>
      </c>
      <c r="H23" s="3"/>
      <c r="I23" s="3"/>
      <c r="J23" s="8">
        <f t="shared" si="0"/>
        <v>0.6560944444444444</v>
      </c>
      <c r="K23" s="9">
        <f t="shared" si="1"/>
        <v>0.1848</v>
      </c>
      <c r="L23" s="9">
        <f t="shared" si="2"/>
        <v>0.5135555555555555</v>
      </c>
      <c r="M23" s="9">
        <f t="shared" si="3"/>
        <v>0.15729333333333334</v>
      </c>
      <c r="N23" s="13">
        <f t="shared" si="4"/>
        <v>0.357869696969697</v>
      </c>
    </row>
    <row r="24" spans="1:14" ht="12.75">
      <c r="A24" t="s">
        <v>73</v>
      </c>
      <c r="B24" s="4"/>
      <c r="C24" s="4">
        <v>60</v>
      </c>
      <c r="D24" s="4"/>
      <c r="E24" s="3"/>
      <c r="F24" s="4"/>
      <c r="G24" s="4"/>
      <c r="H24" s="4">
        <f>SUM(B24:D24)</f>
        <v>60</v>
      </c>
      <c r="I24" s="3"/>
      <c r="J24" s="8">
        <f>SUM(B24:D24)/1800</f>
        <v>0.03333333333333333</v>
      </c>
      <c r="K24" s="9">
        <f>B24/(1800*5/12)</f>
        <v>0</v>
      </c>
      <c r="L24" s="9">
        <f>C24/1800</f>
        <v>0.03333333333333333</v>
      </c>
      <c r="M24" s="9">
        <f>D24/(1800*5/12)</f>
        <v>0</v>
      </c>
      <c r="N24" s="13">
        <f>J24*1800/3300</f>
        <v>0.01818181818181818</v>
      </c>
    </row>
    <row r="25" spans="1:14" ht="12.75">
      <c r="A25" t="s">
        <v>18</v>
      </c>
      <c r="B25" s="4"/>
      <c r="C25" s="4">
        <v>160</v>
      </c>
      <c r="D25" s="4"/>
      <c r="E25" s="3"/>
      <c r="F25" s="3"/>
      <c r="G25" s="4">
        <f>SUM(B25:D25)</f>
        <v>160</v>
      </c>
      <c r="H25" s="3"/>
      <c r="I25" s="3"/>
      <c r="J25" s="8">
        <f t="shared" si="0"/>
        <v>0.08888888888888889</v>
      </c>
      <c r="K25" s="9">
        <f t="shared" si="1"/>
        <v>0</v>
      </c>
      <c r="L25" s="9">
        <f t="shared" si="2"/>
        <v>0.08888888888888889</v>
      </c>
      <c r="M25" s="9">
        <f t="shared" si="3"/>
        <v>0</v>
      </c>
      <c r="N25" s="13">
        <f t="shared" si="4"/>
        <v>0.048484848484848485</v>
      </c>
    </row>
    <row r="26" spans="1:14" ht="12.75">
      <c r="A26" t="s">
        <v>19</v>
      </c>
      <c r="B26" s="4">
        <v>271.7</v>
      </c>
      <c r="C26" s="4">
        <v>668.15</v>
      </c>
      <c r="D26" s="4">
        <v>203.13</v>
      </c>
      <c r="E26" s="3"/>
      <c r="F26" s="3"/>
      <c r="G26" s="3"/>
      <c r="H26" s="4">
        <f>SUM(B26:D26)</f>
        <v>1142.98</v>
      </c>
      <c r="I26" s="3"/>
      <c r="J26" s="8">
        <f t="shared" si="0"/>
        <v>0.6349888888888889</v>
      </c>
      <c r="K26" s="11">
        <f t="shared" si="1"/>
        <v>0.3622666666666666</v>
      </c>
      <c r="L26" s="11">
        <f t="shared" si="2"/>
        <v>0.37119444444444444</v>
      </c>
      <c r="M26" s="9">
        <f t="shared" si="3"/>
        <v>0.27083999999999997</v>
      </c>
      <c r="N26" s="13">
        <f t="shared" si="4"/>
        <v>0.34635757575757575</v>
      </c>
    </row>
    <row r="27" spans="1:14" ht="12.75">
      <c r="A27" s="12" t="s">
        <v>20</v>
      </c>
      <c r="B27" s="4">
        <v>728.4</v>
      </c>
      <c r="C27" s="4">
        <v>1950.03</v>
      </c>
      <c r="D27" s="4">
        <v>621.6</v>
      </c>
      <c r="E27" s="3"/>
      <c r="F27" s="3"/>
      <c r="G27" s="4">
        <f>SUM(B27:D27)</f>
        <v>3300.0299999999997</v>
      </c>
      <c r="H27" s="3"/>
      <c r="I27" s="3"/>
      <c r="J27" s="8">
        <f t="shared" si="0"/>
        <v>1.8333499999999998</v>
      </c>
      <c r="K27" s="11">
        <f t="shared" si="1"/>
        <v>0.9712</v>
      </c>
      <c r="L27" s="11">
        <f t="shared" si="2"/>
        <v>1.08335</v>
      </c>
      <c r="M27" s="9">
        <f t="shared" si="3"/>
        <v>0.8288</v>
      </c>
      <c r="N27" s="13">
        <f t="shared" si="4"/>
        <v>1.0000090909090908</v>
      </c>
    </row>
    <row r="28" spans="1:14" ht="12.75">
      <c r="A28" t="s">
        <v>21</v>
      </c>
      <c r="B28" s="4"/>
      <c r="C28" s="4">
        <v>508</v>
      </c>
      <c r="D28" s="4">
        <v>40</v>
      </c>
      <c r="E28" s="4">
        <f aca="true" t="shared" si="6" ref="E28:E35">SUM(B28:D28)</f>
        <v>548</v>
      </c>
      <c r="F28" s="3"/>
      <c r="G28" s="3"/>
      <c r="H28" s="3"/>
      <c r="I28" s="3"/>
      <c r="J28" s="8">
        <f t="shared" si="0"/>
        <v>0.30444444444444446</v>
      </c>
      <c r="K28" s="9">
        <f t="shared" si="1"/>
        <v>0</v>
      </c>
      <c r="L28" s="9">
        <f t="shared" si="2"/>
        <v>0.2822222222222222</v>
      </c>
      <c r="M28" s="9">
        <f t="shared" si="3"/>
        <v>0.05333333333333334</v>
      </c>
      <c r="N28" s="13">
        <f t="shared" si="4"/>
        <v>0.16606060606060605</v>
      </c>
    </row>
    <row r="29" spans="1:14" ht="12.75">
      <c r="A29" t="s">
        <v>35</v>
      </c>
      <c r="B29" s="4"/>
      <c r="C29" s="4">
        <v>30</v>
      </c>
      <c r="D29" s="4"/>
      <c r="E29" s="4">
        <f t="shared" si="6"/>
        <v>30</v>
      </c>
      <c r="F29" s="3"/>
      <c r="G29" s="3"/>
      <c r="H29" s="3"/>
      <c r="I29" s="3"/>
      <c r="J29" s="8">
        <f t="shared" si="0"/>
        <v>0.016666666666666666</v>
      </c>
      <c r="K29" s="9">
        <f t="shared" si="1"/>
        <v>0</v>
      </c>
      <c r="L29" s="9">
        <f t="shared" si="2"/>
        <v>0.016666666666666666</v>
      </c>
      <c r="M29" s="9">
        <f t="shared" si="3"/>
        <v>0</v>
      </c>
      <c r="N29" s="13">
        <f t="shared" si="4"/>
        <v>0.00909090909090909</v>
      </c>
    </row>
    <row r="30" spans="1:14" ht="12.75">
      <c r="A30" t="s">
        <v>22</v>
      </c>
      <c r="B30" s="4">
        <v>59</v>
      </c>
      <c r="C30" s="4">
        <v>993</v>
      </c>
      <c r="D30" s="4">
        <v>68</v>
      </c>
      <c r="E30" s="4">
        <f t="shared" si="6"/>
        <v>1120</v>
      </c>
      <c r="F30" s="3"/>
      <c r="G30" s="3"/>
      <c r="H30" s="3"/>
      <c r="I30" s="3"/>
      <c r="J30" s="8">
        <f t="shared" si="0"/>
        <v>0.6222222222222222</v>
      </c>
      <c r="K30" s="9">
        <f t="shared" si="1"/>
        <v>0.07866666666666666</v>
      </c>
      <c r="L30" s="9">
        <f t="shared" si="2"/>
        <v>0.5516666666666666</v>
      </c>
      <c r="M30" s="9">
        <f t="shared" si="3"/>
        <v>0.09066666666666667</v>
      </c>
      <c r="N30" s="13">
        <f t="shared" si="4"/>
        <v>0.3393939393939394</v>
      </c>
    </row>
    <row r="31" spans="1:14" ht="12.75">
      <c r="A31" t="s">
        <v>23</v>
      </c>
      <c r="B31" s="4"/>
      <c r="C31" s="4">
        <v>488</v>
      </c>
      <c r="D31" s="4">
        <v>77</v>
      </c>
      <c r="E31" s="4">
        <f t="shared" si="6"/>
        <v>565</v>
      </c>
      <c r="F31" s="3"/>
      <c r="G31" s="3"/>
      <c r="H31" s="3"/>
      <c r="I31" s="3"/>
      <c r="J31" s="8">
        <f t="shared" si="0"/>
        <v>0.3138888888888889</v>
      </c>
      <c r="K31" s="9">
        <f t="shared" si="1"/>
        <v>0</v>
      </c>
      <c r="L31" s="9">
        <f t="shared" si="2"/>
        <v>0.27111111111111114</v>
      </c>
      <c r="M31" s="9">
        <f t="shared" si="3"/>
        <v>0.10266666666666667</v>
      </c>
      <c r="N31" s="13">
        <f t="shared" si="4"/>
        <v>0.1712121212121212</v>
      </c>
    </row>
    <row r="32" spans="1:14" ht="12.75">
      <c r="A32" s="12" t="s">
        <v>24</v>
      </c>
      <c r="B32" s="4">
        <v>617</v>
      </c>
      <c r="C32" s="4">
        <v>1827</v>
      </c>
      <c r="D32" s="4">
        <v>463</v>
      </c>
      <c r="E32" s="4">
        <f t="shared" si="6"/>
        <v>2907</v>
      </c>
      <c r="F32" s="3"/>
      <c r="G32" s="3"/>
      <c r="H32" s="3"/>
      <c r="I32" s="3"/>
      <c r="J32" s="8">
        <f t="shared" si="0"/>
        <v>1.615</v>
      </c>
      <c r="K32" s="9">
        <f t="shared" si="1"/>
        <v>0.8226666666666667</v>
      </c>
      <c r="L32" s="11">
        <f t="shared" si="2"/>
        <v>1.015</v>
      </c>
      <c r="M32" s="9">
        <f t="shared" si="3"/>
        <v>0.6173333333333333</v>
      </c>
      <c r="N32" s="13">
        <f t="shared" si="4"/>
        <v>0.8809090909090909</v>
      </c>
    </row>
    <row r="33" spans="1:14" ht="12.75">
      <c r="A33" t="s">
        <v>26</v>
      </c>
      <c r="B33" s="4"/>
      <c r="C33" s="4">
        <v>200</v>
      </c>
      <c r="D33" s="4">
        <v>16</v>
      </c>
      <c r="E33" s="4">
        <f t="shared" si="6"/>
        <v>216</v>
      </c>
      <c r="F33" s="3"/>
      <c r="G33" s="3"/>
      <c r="H33" s="3"/>
      <c r="I33" s="3"/>
      <c r="J33" s="8">
        <f t="shared" si="0"/>
        <v>0.12</v>
      </c>
      <c r="K33" s="9">
        <f t="shared" si="1"/>
        <v>0</v>
      </c>
      <c r="L33" s="9">
        <f t="shared" si="2"/>
        <v>0.1111111111111111</v>
      </c>
      <c r="M33" s="9">
        <f t="shared" si="3"/>
        <v>0.021333333333333333</v>
      </c>
      <c r="N33" s="9">
        <f t="shared" si="4"/>
        <v>0.06545454545454546</v>
      </c>
    </row>
    <row r="34" spans="1:14" ht="12.75">
      <c r="A34" t="s">
        <v>27</v>
      </c>
      <c r="B34" s="4">
        <v>100.1</v>
      </c>
      <c r="C34" s="4">
        <v>264.6</v>
      </c>
      <c r="D34" s="4">
        <v>168.3</v>
      </c>
      <c r="E34" s="3"/>
      <c r="F34" s="3"/>
      <c r="G34" s="4">
        <f>SUM(B34:D34)</f>
        <v>533</v>
      </c>
      <c r="H34" s="3"/>
      <c r="I34" s="3"/>
      <c r="J34" s="8">
        <f t="shared" si="0"/>
        <v>0.2961111111111111</v>
      </c>
      <c r="K34" s="9">
        <f t="shared" si="1"/>
        <v>0.13346666666666665</v>
      </c>
      <c r="L34" s="9">
        <f t="shared" si="2"/>
        <v>0.14700000000000002</v>
      </c>
      <c r="M34" s="9">
        <f t="shared" si="3"/>
        <v>0.22440000000000002</v>
      </c>
      <c r="N34" s="9">
        <f t="shared" si="4"/>
        <v>0.16151515151515153</v>
      </c>
    </row>
    <row r="35" spans="1:14" ht="12.75">
      <c r="A35" t="s">
        <v>74</v>
      </c>
      <c r="B35" s="4"/>
      <c r="C35" s="4">
        <v>140</v>
      </c>
      <c r="D35" s="4"/>
      <c r="E35" s="4">
        <f t="shared" si="6"/>
        <v>140</v>
      </c>
      <c r="F35" s="3"/>
      <c r="G35" s="4"/>
      <c r="H35" s="3"/>
      <c r="I35" s="3"/>
      <c r="J35" s="8">
        <f>SUM(B35:D35)/1800</f>
        <v>0.07777777777777778</v>
      </c>
      <c r="K35" s="9">
        <f>B35/(1800*5/12)</f>
        <v>0</v>
      </c>
      <c r="L35" s="9">
        <f>C35/1800</f>
        <v>0.07777777777777778</v>
      </c>
      <c r="M35" s="9">
        <f>D35/(1800*5/12)</f>
        <v>0</v>
      </c>
      <c r="N35" s="9">
        <f>J35*1800/3300</f>
        <v>0.04242424242424243</v>
      </c>
    </row>
    <row r="36" spans="1:14" ht="12.75">
      <c r="A36" t="s">
        <v>52</v>
      </c>
      <c r="B36" s="4">
        <v>226.88</v>
      </c>
      <c r="C36" s="4">
        <v>933.12</v>
      </c>
      <c r="D36" s="4"/>
      <c r="E36" s="3"/>
      <c r="F36" s="3"/>
      <c r="G36" s="3"/>
      <c r="H36" s="3"/>
      <c r="I36" s="4">
        <f>SUM(B36:D36)</f>
        <v>1160</v>
      </c>
      <c r="J36" s="8">
        <f t="shared" si="0"/>
        <v>0.6444444444444445</v>
      </c>
      <c r="K36" s="11">
        <f t="shared" si="1"/>
        <v>0.30250666666666665</v>
      </c>
      <c r="L36" s="9">
        <f t="shared" si="2"/>
        <v>0.5184</v>
      </c>
      <c r="M36" s="9">
        <f t="shared" si="3"/>
        <v>0</v>
      </c>
      <c r="N36" s="9">
        <f t="shared" si="4"/>
        <v>0.3515151515151515</v>
      </c>
    </row>
    <row r="37" spans="1:14" ht="12.75">
      <c r="A37" t="s">
        <v>28</v>
      </c>
      <c r="B37" s="4"/>
      <c r="C37" s="4"/>
      <c r="D37" s="4">
        <v>40</v>
      </c>
      <c r="E37" s="4">
        <f>SUM(B37:D37)</f>
        <v>40</v>
      </c>
      <c r="F37" s="3"/>
      <c r="G37" s="3"/>
      <c r="H37" s="3"/>
      <c r="I37" s="3"/>
      <c r="J37" s="8">
        <f t="shared" si="0"/>
        <v>0.022222222222222223</v>
      </c>
      <c r="K37" s="9">
        <f t="shared" si="1"/>
        <v>0</v>
      </c>
      <c r="L37" s="9">
        <f t="shared" si="2"/>
        <v>0</v>
      </c>
      <c r="M37" s="9">
        <f t="shared" si="3"/>
        <v>0.05333333333333334</v>
      </c>
      <c r="N37" s="9">
        <f t="shared" si="4"/>
        <v>0.012121212121212121</v>
      </c>
    </row>
    <row r="38" spans="1:14" ht="12.75">
      <c r="A38" t="s">
        <v>75</v>
      </c>
      <c r="B38" s="4"/>
      <c r="C38" s="4">
        <v>40</v>
      </c>
      <c r="D38" s="4"/>
      <c r="E38" s="4">
        <f>SUM(B38:D38)</f>
        <v>40</v>
      </c>
      <c r="F38" s="3"/>
      <c r="G38" s="3"/>
      <c r="H38" s="3"/>
      <c r="I38" s="3"/>
      <c r="J38" s="8">
        <f>SUM(B38:D38)/1800</f>
        <v>0.022222222222222223</v>
      </c>
      <c r="K38" s="9">
        <f>B38/(1800*5/12)</f>
        <v>0</v>
      </c>
      <c r="L38" s="9">
        <f>C38/1800</f>
        <v>0.022222222222222223</v>
      </c>
      <c r="M38" s="9">
        <f>D38/(1800*5/12)</f>
        <v>0</v>
      </c>
      <c r="N38" s="9">
        <f>J38*1800/3300</f>
        <v>0.012121212121212121</v>
      </c>
    </row>
    <row r="39" spans="1:14" ht="12.75">
      <c r="A39" t="s">
        <v>29</v>
      </c>
      <c r="B39" s="4">
        <v>69.15</v>
      </c>
      <c r="C39" s="4">
        <v>429.7</v>
      </c>
      <c r="D39" s="4">
        <v>176.17</v>
      </c>
      <c r="E39" s="4">
        <f>SUM(B39:D39)</f>
        <v>675.02</v>
      </c>
      <c r="F39" s="3"/>
      <c r="G39" s="3"/>
      <c r="H39" s="3"/>
      <c r="I39" s="3"/>
      <c r="J39" s="8">
        <f t="shared" si="0"/>
        <v>0.37501111111111113</v>
      </c>
      <c r="K39" s="9">
        <f t="shared" si="1"/>
        <v>0.0922</v>
      </c>
      <c r="L39" s="9">
        <f t="shared" si="2"/>
        <v>0.23872222222222222</v>
      </c>
      <c r="M39" s="9">
        <f t="shared" si="3"/>
        <v>0.23489333333333332</v>
      </c>
      <c r="N39" s="9">
        <f t="shared" si="4"/>
        <v>0.20455151515151515</v>
      </c>
    </row>
    <row r="40" spans="1:14" ht="12.75">
      <c r="A40" s="12" t="s">
        <v>30</v>
      </c>
      <c r="B40" s="4">
        <v>242</v>
      </c>
      <c r="C40" s="4">
        <v>1530</v>
      </c>
      <c r="D40" s="4">
        <v>268.6</v>
      </c>
      <c r="E40" s="3"/>
      <c r="F40" s="4">
        <f>SUM(B40:D40)</f>
        <v>2040.6</v>
      </c>
      <c r="G40" s="3"/>
      <c r="H40" s="3"/>
      <c r="I40" s="3"/>
      <c r="J40" s="8">
        <f t="shared" si="0"/>
        <v>1.1336666666666666</v>
      </c>
      <c r="K40" s="9">
        <f t="shared" si="1"/>
        <v>0.32266666666666666</v>
      </c>
      <c r="L40" s="9">
        <f t="shared" si="2"/>
        <v>0.85</v>
      </c>
      <c r="M40" s="9">
        <f t="shared" si="3"/>
        <v>0.35813333333333336</v>
      </c>
      <c r="N40" s="13">
        <f t="shared" si="4"/>
        <v>0.6183636363636363</v>
      </c>
    </row>
    <row r="41" spans="1:14" ht="12.75">
      <c r="A41" t="s">
        <v>31</v>
      </c>
      <c r="B41" s="4"/>
      <c r="C41" s="4">
        <v>863</v>
      </c>
      <c r="D41" s="4">
        <v>296</v>
      </c>
      <c r="E41" s="4">
        <f>SUM(B41:D41)</f>
        <v>1159</v>
      </c>
      <c r="F41" s="3"/>
      <c r="G41" s="3"/>
      <c r="H41" s="3"/>
      <c r="I41" s="3"/>
      <c r="J41" s="8">
        <f t="shared" si="0"/>
        <v>0.6438888888888888</v>
      </c>
      <c r="K41" s="9">
        <f t="shared" si="1"/>
        <v>0</v>
      </c>
      <c r="L41" s="9">
        <f t="shared" si="2"/>
        <v>0.47944444444444445</v>
      </c>
      <c r="M41" s="9">
        <f t="shared" si="3"/>
        <v>0.39466666666666667</v>
      </c>
      <c r="N41" s="9">
        <f t="shared" si="4"/>
        <v>0.3512121212121212</v>
      </c>
    </row>
    <row r="42" spans="1:14" ht="12.75">
      <c r="A42" s="12" t="s">
        <v>32</v>
      </c>
      <c r="B42" s="4">
        <v>517</v>
      </c>
      <c r="C42" s="4">
        <v>968</v>
      </c>
      <c r="D42" s="4">
        <v>677</v>
      </c>
      <c r="E42" s="4">
        <f>SUM(B42:D42)</f>
        <v>2162</v>
      </c>
      <c r="F42" s="3"/>
      <c r="G42" s="3"/>
      <c r="H42" s="3"/>
      <c r="I42" s="3"/>
      <c r="J42" s="8">
        <f t="shared" si="0"/>
        <v>1.201111111111111</v>
      </c>
      <c r="K42" s="9">
        <f t="shared" si="1"/>
        <v>0.6893333333333334</v>
      </c>
      <c r="L42" s="9">
        <f t="shared" si="2"/>
        <v>0.5377777777777778</v>
      </c>
      <c r="M42" s="11">
        <f t="shared" si="3"/>
        <v>0.9026666666666666</v>
      </c>
      <c r="N42" s="13">
        <f t="shared" si="4"/>
        <v>0.6551515151515152</v>
      </c>
    </row>
    <row r="43" spans="1:14" ht="12.75">
      <c r="A43" s="2" t="s">
        <v>40</v>
      </c>
      <c r="B43" s="4">
        <f>SUM(B3:B42)</f>
        <v>6194.7300000000005</v>
      </c>
      <c r="C43" s="4">
        <f>SUM(C3:C42)</f>
        <v>24193.87</v>
      </c>
      <c r="D43" s="4">
        <f>SUM(D3:D42)</f>
        <v>6099.18</v>
      </c>
      <c r="E43" s="3">
        <f>SUM(E3:E42)</f>
        <v>17506.18</v>
      </c>
      <c r="F43" s="4">
        <f>SUM(F3:F42)</f>
        <v>6251.6</v>
      </c>
      <c r="G43" s="4">
        <f>SUM(G3:G42)</f>
        <v>9947.02</v>
      </c>
      <c r="H43" s="4">
        <f>SUM(H3:H42)</f>
        <v>1622.98</v>
      </c>
      <c r="I43" s="4">
        <f>SUM(I3:I42)</f>
        <v>1160</v>
      </c>
      <c r="N43" s="9">
        <f>SUM(N3:N42)</f>
        <v>11.056903030303031</v>
      </c>
    </row>
    <row r="44" spans="1:10" ht="12.75">
      <c r="A44" s="2" t="s">
        <v>43</v>
      </c>
      <c r="B44" s="7">
        <f aca="true" t="shared" si="7" ref="B44:I44">B43/1800</f>
        <v>3.441516666666667</v>
      </c>
      <c r="C44" s="7">
        <f t="shared" si="7"/>
        <v>13.441038888888889</v>
      </c>
      <c r="D44" s="7">
        <f t="shared" si="7"/>
        <v>3.3884333333333334</v>
      </c>
      <c r="E44" s="7">
        <f t="shared" si="7"/>
        <v>9.725655555555555</v>
      </c>
      <c r="F44" s="7">
        <f t="shared" si="7"/>
        <v>3.4731111111111113</v>
      </c>
      <c r="G44" s="7">
        <f t="shared" si="7"/>
        <v>5.526122222222223</v>
      </c>
      <c r="H44" s="7">
        <f t="shared" si="7"/>
        <v>0.9016555555555555</v>
      </c>
      <c r="I44" s="7">
        <f t="shared" si="7"/>
        <v>0.6444444444444445</v>
      </c>
      <c r="J44" s="7">
        <f>SUM(J3:J42)</f>
        <v>20.270988888888887</v>
      </c>
    </row>
    <row r="45" spans="1:9" ht="12.75">
      <c r="A45" s="2" t="s">
        <v>50</v>
      </c>
      <c r="B45" s="10">
        <f>B44*135</f>
        <v>464.60475</v>
      </c>
      <c r="C45" s="10">
        <f aca="true" t="shared" si="8" ref="C45:I45">C44*135</f>
        <v>1814.54025</v>
      </c>
      <c r="D45" s="4">
        <f t="shared" si="8"/>
        <v>457.43850000000003</v>
      </c>
      <c r="E45" s="4">
        <f t="shared" si="8"/>
        <v>1312.9634999999998</v>
      </c>
      <c r="F45" s="4">
        <f t="shared" si="8"/>
        <v>468.87</v>
      </c>
      <c r="G45" s="4">
        <f t="shared" si="8"/>
        <v>746.0265</v>
      </c>
      <c r="H45" s="3"/>
      <c r="I45" s="4">
        <f t="shared" si="8"/>
        <v>87</v>
      </c>
    </row>
    <row r="46" spans="1:4" ht="12.75">
      <c r="A46" s="2" t="s">
        <v>49</v>
      </c>
      <c r="B46" s="4">
        <v>455</v>
      </c>
      <c r="C46" s="4">
        <v>2000</v>
      </c>
      <c r="D46" s="4">
        <v>1000</v>
      </c>
    </row>
    <row r="47" ht="12.75">
      <c r="C47" s="1">
        <f>SUM(C3,C4,C7,C8,C9,C18,C20,C22,C28,C29,C30,C31,C32,C33,C39,C41,C42,)</f>
        <v>11162.82</v>
      </c>
    </row>
    <row r="48" spans="2:5" ht="12.75">
      <c r="B48" s="1">
        <f>SUM(B43:D43)</f>
        <v>36487.78</v>
      </c>
      <c r="E48" s="1">
        <f>SUM(E43:I43)</f>
        <v>36487.780000000006</v>
      </c>
    </row>
    <row r="50" spans="1:9" ht="12.75">
      <c r="A50" s="15" t="s">
        <v>53</v>
      </c>
      <c r="B50" s="16" t="s">
        <v>55</v>
      </c>
      <c r="C50" s="16"/>
      <c r="D50" s="16"/>
      <c r="E50" s="15"/>
      <c r="F50" s="15" t="s">
        <v>58</v>
      </c>
      <c r="G50" s="15"/>
      <c r="H50" s="15"/>
      <c r="I50" s="15"/>
    </row>
    <row r="51" spans="1:9" ht="12.75">
      <c r="A51" s="17"/>
      <c r="B51" s="6" t="s">
        <v>37</v>
      </c>
      <c r="C51" s="6" t="s">
        <v>38</v>
      </c>
      <c r="D51" s="6" t="s">
        <v>39</v>
      </c>
      <c r="E51" s="6" t="s">
        <v>48</v>
      </c>
      <c r="F51" s="6" t="s">
        <v>37</v>
      </c>
      <c r="G51" s="6" t="s">
        <v>38</v>
      </c>
      <c r="H51" s="6" t="s">
        <v>39</v>
      </c>
      <c r="I51" s="6" t="s">
        <v>48</v>
      </c>
    </row>
    <row r="52" spans="1:9" ht="12.75">
      <c r="A52" t="s">
        <v>3</v>
      </c>
      <c r="B52" s="4" t="e">
        <f>B5+#REF!+B6+B11+B17+B40+#REF!</f>
        <v>#REF!</v>
      </c>
      <c r="C52" s="4" t="e">
        <f>C5+#REF!+C6+C11+C17+C40+#REF!</f>
        <v>#REF!</v>
      </c>
      <c r="D52" s="4" t="e">
        <f>D5+#REF!+D6+D11+D17+D40+#REF!</f>
        <v>#REF!</v>
      </c>
      <c r="E52" s="4" t="e">
        <f aca="true" t="shared" si="9" ref="E52:E57">SUM(B52:D52)</f>
        <v>#REF!</v>
      </c>
      <c r="F52" s="4" t="e">
        <f>#REF!+#REF!+#REF!+#REF!+#REF!+#REF!+#REF!</f>
        <v>#REF!</v>
      </c>
      <c r="G52" s="4" t="e">
        <f>#REF!+#REF!+#REF!+#REF!+#REF!+#REF!+#REF!</f>
        <v>#REF!</v>
      </c>
      <c r="H52" s="4" t="e">
        <f>#REF!+#REF!+#REF!+#REF!+#REF!+#REF!+#REF!</f>
        <v>#REF!</v>
      </c>
      <c r="I52" s="1" t="e">
        <f aca="true" t="shared" si="10" ref="I52:I63">SUM(F52:H52)</f>
        <v>#REF!</v>
      </c>
    </row>
    <row r="53" spans="1:9" ht="12.75">
      <c r="A53" t="s">
        <v>9</v>
      </c>
      <c r="B53" s="4">
        <f>B13+B15+B21+B23+B25+B27+B34</f>
        <v>1750.1</v>
      </c>
      <c r="C53" s="4">
        <f>C13+C15+C21+C23+C25+C27+C34</f>
        <v>6521.78</v>
      </c>
      <c r="D53" s="4">
        <f>D13+D15+D21+D23+D25+D27+D34</f>
        <v>1675.14</v>
      </c>
      <c r="E53" s="4">
        <f t="shared" si="9"/>
        <v>9947.019999999999</v>
      </c>
      <c r="F53" s="4" t="e">
        <f>#REF!+#REF!+#REF!+#REF!+#REF!+#REF!+#REF!</f>
        <v>#REF!</v>
      </c>
      <c r="G53" s="4" t="e">
        <f>#REF!+#REF!+#REF!+#REF!+#REF!+#REF!+#REF!</f>
        <v>#REF!</v>
      </c>
      <c r="H53" s="4" t="e">
        <f>#REF!+#REF!+#REF!+#REF!+#REF!+#REF!+#REF!</f>
        <v>#REF!</v>
      </c>
      <c r="I53" s="1" t="e">
        <f t="shared" si="10"/>
        <v>#REF!</v>
      </c>
    </row>
    <row r="54" spans="1:9" ht="12.75">
      <c r="A54" t="s">
        <v>5</v>
      </c>
      <c r="B54" s="4">
        <f>B3+B4+B7+B8+B9+B12+B16+B18+B20+B22+B28+B29+B30+B31+B32+B33+B37+B39+B41+B42</f>
        <v>2524.05</v>
      </c>
      <c r="C54" s="4">
        <f>C3+C4+C7+C8+C9+C12+C16+C18+C20+C22+C28+C29+C30+C31+C32+C33+C37+C39+C41+C42</f>
        <v>11162.82</v>
      </c>
      <c r="D54" s="4">
        <f>D3+D4+D7+D8+D9+D12+D16+D18+D20+D22+D28+D29+D30+D31+D32+D33+D37+D39+D41+D42</f>
        <v>3275.3100000000004</v>
      </c>
      <c r="E54" s="4">
        <f t="shared" si="9"/>
        <v>16962.18</v>
      </c>
      <c r="F54" s="4" t="e">
        <f>#REF!+#REF!+#REF!+#REF!+#REF!+#REF!+#REF!+#REF!+#REF!+#REF!+#REF!+#REF!+#REF!+#REF!+#REF!+#REF!+#REF!+#REF!+#REF!+#REF!</f>
        <v>#REF!</v>
      </c>
      <c r="G54" s="4" t="e">
        <f>#REF!+#REF!+#REF!+#REF!+#REF!+#REF!+#REF!+#REF!+#REF!+#REF!+#REF!+#REF!+#REF!+#REF!+#REF!+#REF!+#REF!+#REF!+#REF!+#REF!</f>
        <v>#REF!</v>
      </c>
      <c r="H54" s="4" t="e">
        <f>#REF!+#REF!+#REF!+#REF!+#REF!+#REF!+#REF!+#REF!+#REF!+#REF!+#REF!+#REF!+#REF!+#REF!+#REF!+#REF!+#REF!+#REF!+#REF!+#REF!</f>
        <v>#REF!</v>
      </c>
      <c r="I54" s="1" t="e">
        <f t="shared" si="10"/>
        <v>#REF!</v>
      </c>
    </row>
    <row r="55" spans="1:9" ht="12.75">
      <c r="A55" t="s">
        <v>56</v>
      </c>
      <c r="B55" s="4">
        <f>B14+B26</f>
        <v>291.7</v>
      </c>
      <c r="C55" s="4">
        <f>C14+C26</f>
        <v>1068.15</v>
      </c>
      <c r="D55" s="4">
        <f>D14+D26</f>
        <v>203.13</v>
      </c>
      <c r="E55" s="4">
        <f t="shared" si="9"/>
        <v>1562.98</v>
      </c>
      <c r="F55" s="4" t="e">
        <f>#REF!+#REF!</f>
        <v>#REF!</v>
      </c>
      <c r="G55" s="4" t="e">
        <f>#REF!+#REF!</f>
        <v>#REF!</v>
      </c>
      <c r="H55" s="4" t="e">
        <f>#REF!+#REF!</f>
        <v>#REF!</v>
      </c>
      <c r="I55" s="1" t="e">
        <f t="shared" si="10"/>
        <v>#REF!</v>
      </c>
    </row>
    <row r="56" spans="1:9" ht="12.75">
      <c r="A56" t="s">
        <v>52</v>
      </c>
      <c r="B56" s="4">
        <f>B36</f>
        <v>226.88</v>
      </c>
      <c r="C56" s="4">
        <f>C36</f>
        <v>933.12</v>
      </c>
      <c r="D56" s="4">
        <f>D36</f>
        <v>0</v>
      </c>
      <c r="E56" s="4">
        <f t="shared" si="9"/>
        <v>1160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1" t="e">
        <f t="shared" si="10"/>
        <v>#REF!</v>
      </c>
    </row>
    <row r="57" spans="1:9" ht="12.75">
      <c r="A57" s="2" t="s">
        <v>57</v>
      </c>
      <c r="B57" s="4" t="e">
        <f>SUM(B52:B56)</f>
        <v>#REF!</v>
      </c>
      <c r="C57" s="4" t="e">
        <f>SUM(C52:C56)</f>
        <v>#REF!</v>
      </c>
      <c r="D57" s="4" t="e">
        <f>SUM(D52:D56)</f>
        <v>#REF!</v>
      </c>
      <c r="E57" s="4" t="e">
        <f t="shared" si="9"/>
        <v>#REF!</v>
      </c>
      <c r="F57" s="4" t="e">
        <f>SUM(F52:F56)</f>
        <v>#REF!</v>
      </c>
      <c r="G57" s="4" t="e">
        <f>SUM(G52:G56)</f>
        <v>#REF!</v>
      </c>
      <c r="H57" s="4" t="e">
        <f>SUM(H52:H56)</f>
        <v>#REF!</v>
      </c>
      <c r="I57" s="1" t="e">
        <f t="shared" si="10"/>
        <v>#REF!</v>
      </c>
    </row>
    <row r="58" spans="1:9" ht="12.75">
      <c r="A58" t="s">
        <v>59</v>
      </c>
      <c r="F58" s="3">
        <v>2</v>
      </c>
      <c r="G58" s="3">
        <f>216-F58-H58</f>
        <v>164</v>
      </c>
      <c r="H58" s="3">
        <v>50</v>
      </c>
      <c r="I58" s="1">
        <f t="shared" si="10"/>
        <v>216</v>
      </c>
    </row>
    <row r="59" spans="1:9" ht="12.75">
      <c r="A59" t="s">
        <v>60</v>
      </c>
      <c r="F59" s="4">
        <f>224*5/22-23</f>
        <v>27.909090909090907</v>
      </c>
      <c r="G59" s="4">
        <f>224-10-F59-H59</f>
        <v>125.18181818181819</v>
      </c>
      <c r="H59" s="4">
        <f>224*5/22+10</f>
        <v>60.90909090909091</v>
      </c>
      <c r="I59" s="1">
        <f t="shared" si="10"/>
        <v>214</v>
      </c>
    </row>
    <row r="60" spans="1:9" ht="12.75">
      <c r="A60" t="s">
        <v>61</v>
      </c>
      <c r="F60" s="4">
        <f>F58+F59</f>
        <v>29.909090909090907</v>
      </c>
      <c r="G60" s="4">
        <f>G58+G59</f>
        <v>289.1818181818182</v>
      </c>
      <c r="H60" s="4">
        <f>H58+H59</f>
        <v>110.9090909090909</v>
      </c>
      <c r="I60" s="1">
        <f>I58+I59</f>
        <v>430</v>
      </c>
    </row>
    <row r="61" spans="1:9" ht="12.75">
      <c r="A61" t="s">
        <v>62</v>
      </c>
      <c r="F61" s="3">
        <v>0</v>
      </c>
      <c r="G61" s="3">
        <v>0</v>
      </c>
      <c r="H61" s="3">
        <f>458-9</f>
        <v>449</v>
      </c>
      <c r="I61" s="1">
        <f t="shared" si="10"/>
        <v>449</v>
      </c>
    </row>
    <row r="62" spans="1:9" ht="12.75">
      <c r="A62" s="2" t="s">
        <v>63</v>
      </c>
      <c r="F62" s="4" t="e">
        <f>F57+F60+F61</f>
        <v>#REF!</v>
      </c>
      <c r="G62" s="4" t="e">
        <f>G57+G60+G61</f>
        <v>#REF!</v>
      </c>
      <c r="H62" s="4" t="e">
        <f>H57+H60+H61</f>
        <v>#REF!</v>
      </c>
      <c r="I62" s="1" t="e">
        <f>I57+I60+I61</f>
        <v>#REF!</v>
      </c>
    </row>
    <row r="63" spans="1:9" ht="12.75">
      <c r="A63" s="2" t="s">
        <v>64</v>
      </c>
      <c r="F63" s="3">
        <v>455</v>
      </c>
      <c r="G63" s="3">
        <v>2000</v>
      </c>
      <c r="H63" s="3">
        <f>3479-F63-G63</f>
        <v>1024</v>
      </c>
      <c r="I63" s="1">
        <f t="shared" si="10"/>
        <v>3479</v>
      </c>
    </row>
    <row r="64" spans="1:9" ht="12.75">
      <c r="A64" s="2" t="s">
        <v>65</v>
      </c>
      <c r="F64" s="4" t="e">
        <f>F63-F62</f>
        <v>#REF!</v>
      </c>
      <c r="G64" s="4" t="e">
        <f>G63-G62</f>
        <v>#REF!</v>
      </c>
      <c r="H64" s="4" t="e">
        <f>H63-H62</f>
        <v>#REF!</v>
      </c>
      <c r="I64" s="1" t="e">
        <f>I63-I62</f>
        <v>#REF!</v>
      </c>
    </row>
  </sheetData>
  <mergeCells count="7">
    <mergeCell ref="K1:N1"/>
    <mergeCell ref="B50:E50"/>
    <mergeCell ref="F50:I50"/>
    <mergeCell ref="A50:A51"/>
    <mergeCell ref="B1:D1"/>
    <mergeCell ref="E1:I1"/>
    <mergeCell ref="A1:A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24" sqref="F24"/>
    </sheetView>
  </sheetViews>
  <sheetFormatPr defaultColWidth="9.140625" defaultRowHeight="12.75"/>
  <cols>
    <col min="1" max="1" width="18.421875" style="0" customWidth="1"/>
    <col min="2" max="4" width="6.7109375" style="1" customWidth="1"/>
    <col min="7" max="7" width="29.7109375" style="0" customWidth="1"/>
  </cols>
  <sheetData>
    <row r="1" spans="1:7" ht="12.75">
      <c r="A1" s="15" t="s">
        <v>44</v>
      </c>
      <c r="B1" s="16" t="s">
        <v>42</v>
      </c>
      <c r="C1" s="16"/>
      <c r="D1" s="16"/>
      <c r="E1" s="18" t="s">
        <v>66</v>
      </c>
      <c r="F1" s="18" t="s">
        <v>69</v>
      </c>
      <c r="G1" s="15" t="s">
        <v>71</v>
      </c>
    </row>
    <row r="2" spans="1:7" ht="12.75">
      <c r="A2" s="15"/>
      <c r="B2" s="6" t="s">
        <v>37</v>
      </c>
      <c r="C2" s="6" t="s">
        <v>38</v>
      </c>
      <c r="D2" s="6" t="s">
        <v>39</v>
      </c>
      <c r="E2" s="18"/>
      <c r="F2" s="18"/>
      <c r="G2" s="15"/>
    </row>
    <row r="3" spans="1:6" ht="12.75">
      <c r="A3" t="s">
        <v>0</v>
      </c>
      <c r="B3" s="4">
        <f>'NGAO Plan'!B3</f>
        <v>292.02</v>
      </c>
      <c r="C3" s="4">
        <f>'NGAO Plan'!C3</f>
        <v>523.57</v>
      </c>
      <c r="D3" s="4">
        <f>'NGAO Plan'!D3</f>
        <v>45.42</v>
      </c>
      <c r="E3" s="3">
        <v>524</v>
      </c>
      <c r="F3" s="4">
        <f>E3-C3</f>
        <v>0.42999999999995</v>
      </c>
    </row>
    <row r="4" spans="1:6" ht="12.75">
      <c r="A4" t="s">
        <v>1</v>
      </c>
      <c r="B4" s="4">
        <f>'NGAO Plan'!B4</f>
        <v>0</v>
      </c>
      <c r="C4" s="4">
        <f>'NGAO Plan'!C4</f>
        <v>607.7</v>
      </c>
      <c r="D4" s="4">
        <f>'NGAO Plan'!D4</f>
        <v>143.3</v>
      </c>
      <c r="E4" s="3">
        <v>781</v>
      </c>
      <c r="F4" s="4">
        <f aca="true" t="shared" si="0" ref="F4:F28">E4-C4</f>
        <v>173.29999999999995</v>
      </c>
    </row>
    <row r="5" spans="1:6" ht="12.75">
      <c r="A5" t="s">
        <v>4</v>
      </c>
      <c r="B5" s="4">
        <f>'NGAO Plan'!B7</f>
        <v>0</v>
      </c>
      <c r="C5" s="4">
        <f>'NGAO Plan'!C7</f>
        <v>398</v>
      </c>
      <c r="D5" s="4">
        <f>'NGAO Plan'!D7</f>
        <v>80</v>
      </c>
      <c r="E5" s="3">
        <v>438</v>
      </c>
      <c r="F5" s="4">
        <f t="shared" si="0"/>
        <v>40</v>
      </c>
    </row>
    <row r="6" spans="1:6" ht="12.75">
      <c r="A6" t="s">
        <v>6</v>
      </c>
      <c r="B6" s="4">
        <f>'NGAO Plan'!B8</f>
        <v>28.83</v>
      </c>
      <c r="C6" s="4">
        <f>'NGAO Plan'!C8</f>
        <v>121.4</v>
      </c>
      <c r="D6" s="4">
        <f>'NGAO Plan'!D8</f>
        <v>69.77</v>
      </c>
      <c r="E6" s="3">
        <v>121</v>
      </c>
      <c r="F6" s="4">
        <f t="shared" si="0"/>
        <v>-0.4000000000000057</v>
      </c>
    </row>
    <row r="7" spans="1:6" ht="12.75">
      <c r="A7" t="s">
        <v>36</v>
      </c>
      <c r="B7" s="4">
        <f>'NGAO Plan'!B9</f>
        <v>18.28</v>
      </c>
      <c r="C7" s="4">
        <f>'NGAO Plan'!C9</f>
        <v>43.77</v>
      </c>
      <c r="D7" s="4">
        <f>'NGAO Plan'!D9</f>
        <v>17.95</v>
      </c>
      <c r="E7" s="3">
        <v>44</v>
      </c>
      <c r="F7" s="4">
        <f t="shared" si="0"/>
        <v>0.22999999999999687</v>
      </c>
    </row>
    <row r="8" spans="1:6" ht="12.75">
      <c r="A8" t="s">
        <v>33</v>
      </c>
      <c r="B8" s="4">
        <f>'NGAO Plan'!B12</f>
        <v>0</v>
      </c>
      <c r="C8" s="4">
        <f>'NGAO Plan'!C12</f>
        <v>0</v>
      </c>
      <c r="D8" s="4">
        <f>'NGAO Plan'!D12</f>
        <v>16</v>
      </c>
      <c r="E8" s="3"/>
      <c r="F8" s="4">
        <f t="shared" si="0"/>
        <v>0</v>
      </c>
    </row>
    <row r="9" spans="1:7" ht="12.75">
      <c r="A9" t="s">
        <v>54</v>
      </c>
      <c r="B9" s="4">
        <f>'NGAO Plan'!B14</f>
        <v>20</v>
      </c>
      <c r="C9" s="4">
        <f>'NGAO Plan'!C14</f>
        <v>400</v>
      </c>
      <c r="D9" s="4">
        <f>'NGAO Plan'!D14</f>
        <v>0</v>
      </c>
      <c r="E9" s="3"/>
      <c r="F9" s="4"/>
      <c r="G9" t="s">
        <v>70</v>
      </c>
    </row>
    <row r="10" spans="1:6" ht="12.75">
      <c r="A10" t="s">
        <v>34</v>
      </c>
      <c r="B10" s="4">
        <f>'NGAO Plan'!B16</f>
        <v>0</v>
      </c>
      <c r="C10" s="4">
        <f>'NGAO Plan'!C16</f>
        <v>0</v>
      </c>
      <c r="D10" s="4">
        <f>'NGAO Plan'!D16</f>
        <v>16</v>
      </c>
      <c r="E10" s="3"/>
      <c r="F10" s="4">
        <f t="shared" si="0"/>
        <v>0</v>
      </c>
    </row>
    <row r="11" spans="1:7" ht="12.75">
      <c r="A11" s="12" t="s">
        <v>13</v>
      </c>
      <c r="B11" s="10">
        <f>'NGAO Plan'!B18</f>
        <v>262</v>
      </c>
      <c r="C11" s="10">
        <f>'NGAO Plan'!C18</f>
        <v>1178</v>
      </c>
      <c r="D11" s="10">
        <f>'NGAO Plan'!D18</f>
        <v>396</v>
      </c>
      <c r="E11" s="3">
        <v>1200</v>
      </c>
      <c r="F11" s="4">
        <f t="shared" si="0"/>
        <v>22</v>
      </c>
      <c r="G11" s="14"/>
    </row>
    <row r="12" spans="1:6" ht="12.75">
      <c r="A12" s="12" t="s">
        <v>68</v>
      </c>
      <c r="B12" s="10">
        <f>'NGAO Plan'!B19</f>
        <v>205</v>
      </c>
      <c r="C12" s="10">
        <f>'NGAO Plan'!C19</f>
        <v>152</v>
      </c>
      <c r="D12" s="10">
        <f>'NGAO Plan'!D19</f>
        <v>7</v>
      </c>
      <c r="E12" s="3">
        <v>300</v>
      </c>
      <c r="F12" s="4">
        <f t="shared" si="0"/>
        <v>148</v>
      </c>
    </row>
    <row r="13" spans="1:6" ht="12.75">
      <c r="A13" t="s">
        <v>14</v>
      </c>
      <c r="B13" s="10">
        <f>'NGAO Plan'!B20</f>
        <v>57.32</v>
      </c>
      <c r="C13" s="10">
        <f>'NGAO Plan'!C20</f>
        <v>140.68</v>
      </c>
      <c r="D13" s="10">
        <f>'NGAO Plan'!D20</f>
        <v>0</v>
      </c>
      <c r="E13" s="3">
        <v>141</v>
      </c>
      <c r="F13" s="4">
        <f t="shared" si="0"/>
        <v>0.3199999999999932</v>
      </c>
    </row>
    <row r="14" spans="1:6" ht="12.75">
      <c r="A14" s="12" t="s">
        <v>16</v>
      </c>
      <c r="B14" s="4">
        <f>'NGAO Plan'!B22</f>
        <v>603.45</v>
      </c>
      <c r="C14" s="4">
        <f>'NGAO Plan'!C22</f>
        <v>1843</v>
      </c>
      <c r="D14" s="4">
        <f>'NGAO Plan'!D22</f>
        <v>637.7</v>
      </c>
      <c r="E14" s="3">
        <v>1710</v>
      </c>
      <c r="F14" s="4">
        <f t="shared" si="0"/>
        <v>-133</v>
      </c>
    </row>
    <row r="15" spans="1:6" ht="12.75">
      <c r="A15" s="12" t="s">
        <v>67</v>
      </c>
      <c r="B15" s="4"/>
      <c r="C15" s="4"/>
      <c r="D15" s="4"/>
      <c r="E15" s="3"/>
      <c r="F15" s="4">
        <f t="shared" si="0"/>
        <v>0</v>
      </c>
    </row>
    <row r="16" spans="1:6" ht="12.75">
      <c r="A16" t="s">
        <v>21</v>
      </c>
      <c r="B16" s="4">
        <f>'NGAO Plan'!B28</f>
        <v>0</v>
      </c>
      <c r="C16" s="4">
        <f>'NGAO Plan'!C28</f>
        <v>508</v>
      </c>
      <c r="D16" s="4">
        <f>'NGAO Plan'!D28</f>
        <v>40</v>
      </c>
      <c r="E16" s="3">
        <v>315</v>
      </c>
      <c r="F16" s="4">
        <f t="shared" si="0"/>
        <v>-193</v>
      </c>
    </row>
    <row r="17" spans="1:6" ht="12.75">
      <c r="A17" t="s">
        <v>35</v>
      </c>
      <c r="B17" s="4">
        <f>'NGAO Plan'!B29</f>
        <v>0</v>
      </c>
      <c r="C17" s="4">
        <f>'NGAO Plan'!C29</f>
        <v>30</v>
      </c>
      <c r="D17" s="4">
        <f>'NGAO Plan'!D29</f>
        <v>0</v>
      </c>
      <c r="E17" s="3">
        <v>198</v>
      </c>
      <c r="F17" s="4">
        <f t="shared" si="0"/>
        <v>168</v>
      </c>
    </row>
    <row r="18" spans="1:6" ht="12.75">
      <c r="A18" t="s">
        <v>22</v>
      </c>
      <c r="B18" s="4">
        <f>'NGAO Plan'!B30</f>
        <v>59</v>
      </c>
      <c r="C18" s="4">
        <f>'NGAO Plan'!C30</f>
        <v>993</v>
      </c>
      <c r="D18" s="4">
        <f>'NGAO Plan'!D30</f>
        <v>68</v>
      </c>
      <c r="E18" s="3">
        <v>1067</v>
      </c>
      <c r="F18" s="4">
        <f t="shared" si="0"/>
        <v>74</v>
      </c>
    </row>
    <row r="19" spans="1:7" ht="12.75">
      <c r="A19" t="s">
        <v>23</v>
      </c>
      <c r="B19" s="4">
        <f>'NGAO Plan'!B31</f>
        <v>0</v>
      </c>
      <c r="C19" s="4">
        <f>'NGAO Plan'!C31</f>
        <v>488</v>
      </c>
      <c r="D19" s="4">
        <f>'NGAO Plan'!D31</f>
        <v>77</v>
      </c>
      <c r="E19" s="3">
        <v>120</v>
      </c>
      <c r="F19" s="4">
        <f t="shared" si="0"/>
        <v>-368</v>
      </c>
      <c r="G19" s="14"/>
    </row>
    <row r="20" spans="1:6" ht="12.75">
      <c r="A20" s="12" t="s">
        <v>24</v>
      </c>
      <c r="B20" s="4">
        <f>'NGAO Plan'!B32</f>
        <v>617</v>
      </c>
      <c r="C20" s="4">
        <f>'NGAO Plan'!C32</f>
        <v>1827</v>
      </c>
      <c r="D20" s="4">
        <f>'NGAO Plan'!D32</f>
        <v>463</v>
      </c>
      <c r="E20" s="3">
        <v>1950</v>
      </c>
      <c r="F20" s="4">
        <f t="shared" si="0"/>
        <v>123</v>
      </c>
    </row>
    <row r="21" spans="1:6" ht="12.75">
      <c r="A21" t="s">
        <v>26</v>
      </c>
      <c r="B21" s="4">
        <f>'NGAO Plan'!B33</f>
        <v>0</v>
      </c>
      <c r="C21" s="4">
        <f>'NGAO Plan'!C33</f>
        <v>200</v>
      </c>
      <c r="D21" s="4">
        <f>'NGAO Plan'!D33</f>
        <v>16</v>
      </c>
      <c r="E21" s="3">
        <v>200</v>
      </c>
      <c r="F21" s="4">
        <f t="shared" si="0"/>
        <v>0</v>
      </c>
    </row>
    <row r="22" spans="1:6" ht="12.75">
      <c r="A22" t="s">
        <v>74</v>
      </c>
      <c r="B22" s="4">
        <f>'NGAO Plan'!B35</f>
        <v>0</v>
      </c>
      <c r="C22" s="4">
        <f>'NGAO Plan'!C35</f>
        <v>140</v>
      </c>
      <c r="D22" s="4">
        <f>'NGAO Plan'!D35</f>
        <v>0</v>
      </c>
      <c r="E22" s="3"/>
      <c r="F22" s="4">
        <f t="shared" si="0"/>
        <v>-140</v>
      </c>
    </row>
    <row r="23" spans="1:6" ht="12.75">
      <c r="A23" t="s">
        <v>28</v>
      </c>
      <c r="B23" s="4">
        <f>'NGAO Plan'!B37</f>
        <v>0</v>
      </c>
      <c r="C23" s="4">
        <f>'NGAO Plan'!C37</f>
        <v>0</v>
      </c>
      <c r="D23" s="4">
        <f>'NGAO Plan'!D37</f>
        <v>40</v>
      </c>
      <c r="E23" s="3"/>
      <c r="F23" s="4">
        <f t="shared" si="0"/>
        <v>0</v>
      </c>
    </row>
    <row r="24" spans="1:6" ht="12.75">
      <c r="A24" t="s">
        <v>75</v>
      </c>
      <c r="B24" s="4">
        <f>'NGAO Plan'!B38</f>
        <v>0</v>
      </c>
      <c r="C24" s="4">
        <f>'NGAO Plan'!C38</f>
        <v>40</v>
      </c>
      <c r="D24" s="4">
        <f>'NGAO Plan'!D38</f>
        <v>0</v>
      </c>
      <c r="E24" s="3"/>
      <c r="F24" s="4">
        <f t="shared" si="0"/>
        <v>-40</v>
      </c>
    </row>
    <row r="25" spans="1:6" ht="12.75">
      <c r="A25" t="s">
        <v>29</v>
      </c>
      <c r="B25" s="4">
        <f>'NGAO Plan'!B39</f>
        <v>69.15</v>
      </c>
      <c r="C25" s="4">
        <f>'NGAO Plan'!C39</f>
        <v>429.7</v>
      </c>
      <c r="D25" s="4">
        <f>'NGAO Plan'!D39</f>
        <v>176.17</v>
      </c>
      <c r="E25" s="3">
        <v>430</v>
      </c>
      <c r="F25" s="4">
        <f t="shared" si="0"/>
        <v>0.30000000000001137</v>
      </c>
    </row>
    <row r="26" spans="1:6" ht="12.75">
      <c r="A26" t="s">
        <v>31</v>
      </c>
      <c r="B26" s="4">
        <f>'NGAO Plan'!B41</f>
        <v>0</v>
      </c>
      <c r="C26" s="4">
        <f>'NGAO Plan'!C41</f>
        <v>863</v>
      </c>
      <c r="D26" s="4">
        <f>'NGAO Plan'!D41</f>
        <v>296</v>
      </c>
      <c r="E26" s="3">
        <v>858</v>
      </c>
      <c r="F26" s="4">
        <f t="shared" si="0"/>
        <v>-5</v>
      </c>
    </row>
    <row r="27" spans="1:6" ht="12.75">
      <c r="A27" s="12" t="s">
        <v>32</v>
      </c>
      <c r="B27" s="4">
        <f>'NGAO Plan'!B42</f>
        <v>517</v>
      </c>
      <c r="C27" s="4">
        <f>'NGAO Plan'!C42</f>
        <v>968</v>
      </c>
      <c r="D27" s="4">
        <f>'NGAO Plan'!D42</f>
        <v>677</v>
      </c>
      <c r="E27" s="3">
        <v>983</v>
      </c>
      <c r="F27" s="4">
        <f t="shared" si="0"/>
        <v>15</v>
      </c>
    </row>
    <row r="28" spans="1:6" ht="12.75">
      <c r="A28" s="12" t="s">
        <v>76</v>
      </c>
      <c r="B28" s="4"/>
      <c r="C28" s="4"/>
      <c r="D28" s="4"/>
      <c r="E28" s="3">
        <v>340</v>
      </c>
      <c r="F28" s="4">
        <f t="shared" si="0"/>
        <v>340</v>
      </c>
    </row>
    <row r="29" spans="1:6" ht="12.75">
      <c r="A29" s="2" t="s">
        <v>40</v>
      </c>
      <c r="B29" s="4">
        <f>SUM(B3:B28)</f>
        <v>2749.05</v>
      </c>
      <c r="C29" s="4">
        <f>SUM(C3:C28)</f>
        <v>11894.82</v>
      </c>
      <c r="D29" s="4">
        <f>SUM(D3:D28)</f>
        <v>3282.3100000000004</v>
      </c>
      <c r="E29" s="4">
        <f>SUM(E3:E28)</f>
        <v>11720</v>
      </c>
      <c r="F29" s="4">
        <f>SUM(F3:F27)</f>
        <v>-114.8200000000001</v>
      </c>
    </row>
    <row r="30" spans="1:6" ht="12.75">
      <c r="A30" s="2" t="s">
        <v>43</v>
      </c>
      <c r="B30" s="7">
        <f>B29/1800</f>
        <v>1.52725</v>
      </c>
      <c r="C30" s="7">
        <f>C29/1800</f>
        <v>6.608233333333333</v>
      </c>
      <c r="D30" s="7">
        <f>D29/1800</f>
        <v>1.8235055555555557</v>
      </c>
      <c r="E30" s="3"/>
      <c r="F30" s="3"/>
    </row>
    <row r="31" spans="1:6" ht="12.75">
      <c r="A31" s="2" t="s">
        <v>50</v>
      </c>
      <c r="B31" s="10">
        <f>B30*135</f>
        <v>206.17875</v>
      </c>
      <c r="C31" s="10">
        <f>C30*135</f>
        <v>892.1114999999999</v>
      </c>
      <c r="D31" s="4">
        <f>D30*135</f>
        <v>246.17325000000002</v>
      </c>
      <c r="E31" s="3"/>
      <c r="F31" s="3"/>
    </row>
    <row r="32" spans="1:6" ht="12.75">
      <c r="A32" s="2" t="s">
        <v>49</v>
      </c>
      <c r="B32" s="4">
        <v>455</v>
      </c>
      <c r="C32" s="4">
        <v>2000</v>
      </c>
      <c r="D32" s="4">
        <v>1000</v>
      </c>
      <c r="E32" s="3"/>
      <c r="F32" s="3"/>
    </row>
    <row r="33" spans="5:6" ht="12.75">
      <c r="E33" s="3"/>
      <c r="F33" s="3"/>
    </row>
  </sheetData>
  <mergeCells count="5">
    <mergeCell ref="F1:F2"/>
    <mergeCell ref="G1:G2"/>
    <mergeCell ref="A1:A2"/>
    <mergeCell ref="B1:D1"/>
    <mergeCell ref="E1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peterw</dc:creator>
  <cp:keywords/>
  <dc:description/>
  <cp:lastModifiedBy>peterw</cp:lastModifiedBy>
  <cp:lastPrinted>2008-05-06T02:30:11Z</cp:lastPrinted>
  <dcterms:created xsi:type="dcterms:W3CDTF">2008-03-24T17:24:50Z</dcterms:created>
  <dcterms:modified xsi:type="dcterms:W3CDTF">2008-08-14T19:47:38Z</dcterms:modified>
  <cp:category/>
  <cp:version/>
  <cp:contentType/>
  <cp:contentStatus/>
</cp:coreProperties>
</file>