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5745" windowHeight="8115" tabRatio="815" firstSheet="1" activeTab="8"/>
  </bookViews>
  <sheets>
    <sheet name="Perf Budgets" sheetId="1" r:id="rId1"/>
    <sheet name="Telescope" sheetId="2" r:id="rId2"/>
    <sheet name="Budget" sheetId="3" r:id="rId3"/>
    <sheet name="AO System" sheetId="4" r:id="rId4"/>
    <sheet name="RT Control" sheetId="5" r:id="rId5"/>
    <sheet name="Non-RT Control" sheetId="6" r:id="rId6"/>
    <sheet name="Laser System" sheetId="7" r:id="rId7"/>
    <sheet name="Operations Tools" sheetId="8" r:id="rId8"/>
    <sheet name="Trade Studies" sheetId="9" r:id="rId9"/>
    <sheet name="Risks" sheetId="10" r:id="rId10"/>
  </sheets>
  <definedNames>
    <definedName name="OLE_LINK1" localSheetId="8">'Trade Studies'!#REF!</definedName>
  </definedNames>
  <calcPr fullCalcOnLoad="1"/>
</workbook>
</file>

<file path=xl/sharedStrings.xml><?xml version="1.0" encoding="utf-8"?>
<sst xmlns="http://schemas.openxmlformats.org/spreadsheetml/2006/main" count="849" uniqueCount="623">
  <si>
    <t>Complete when laser pulse format requirements have been documented</t>
  </si>
  <si>
    <t>Deployable IFU multiplex</t>
  </si>
  <si>
    <t>Consider the scientific merit and technical feasibility of efficiently employing a deployable IFU spectrograph.  Consider the science field of regard, MOAO performance requirements, asterism size and geometry, cost, and risk.  (The IR d-IFU instrument may drive other parameters in the NGAO system design.)</t>
  </si>
  <si>
    <t>Complete when documented and NGAO MOAO architecture and asterism requirements have been documented</t>
  </si>
  <si>
    <t>LGS asterism geometry and size</t>
  </si>
  <si>
    <t>Complete when LGS asterism, HO WFS, and LO WFS requirements have been documented.</t>
  </si>
  <si>
    <t>Perform a cost/benefit analysis for the optimal type, waveband, and number of tip/tilt and tip/tilt/focus low-order WFS.</t>
  </si>
  <si>
    <t>Complete when LOWFS requirements and sky coverage estimates have been documented</t>
  </si>
  <si>
    <t>Consider the cost/benefit of continually varying the LGS asterism radius vs. a fixed number of radii (e.g. 5", 25", 50")</t>
  </si>
  <si>
    <t>Complete when LGS asterism requirements have been documented</t>
  </si>
  <si>
    <t>LOWFS architecture</t>
  </si>
  <si>
    <t>Consider the cost/benefit and technical maturity of MEMS-based correction within the LOWFS, using MOAO control techniques.  Include consideration of additional metrology systems required, if any.  Compare with cost/benefit of MCAO system to provide tip/tilt star sharpening.</t>
  </si>
  <si>
    <t>Consider the cost/benefit of different levels of pixel sampling in the HOWFS.  Does 4x4 pixels per subaperture help versus 2x2 pixels for LGS projection on-axis?  (Marcos van Dam reports 4x4 is not useful for LG off-axis projection.)</t>
  </si>
  <si>
    <t>Complete when HOWFS requirements have been documented</t>
  </si>
  <si>
    <t>Consider the cost/benefit of reuse of existing Keck AO instruments, particularly OSIRIS and NIRC2, versus the benefit of design freedom for an all-new instrument suite.</t>
  </si>
  <si>
    <t>Complete when issues documented Observatory strategy adopted</t>
  </si>
  <si>
    <t>Consider the cost/benefit of employing a dedicated NGS HOWFS vs. sharing a HOWFS between NGS and LGS guide star use.  Separately consider whether the oberving band of such an NGS HOWFS, based on science input.  Comment on having two NGS HOWFS, one visible and one IR.</t>
  </si>
  <si>
    <t>Complete when HOWFS requirements documented</t>
  </si>
  <si>
    <t>LGS WFS number of subaperture</t>
  </si>
  <si>
    <t>Consider the cost/benefit of supporting different format LGS wavefront sensors (e.g. 44 subaps across, vs. 32, vs 24.)  Consider the operational scenarios required to meet science requirements in poor atmospheric seeing or cirrus conditions?</t>
  </si>
  <si>
    <t>Determine the requirements, if any, for slow wavefront sensor for tracking of non-common-path aberrations between the HOWFS and science instruments.  Determine potential waveband for slow WFS operation.  Consider if a single NGS HOWFS can be pressed into service for this purpose (with another lenslet array)?  Consider impact of dark current in longer exposures.</t>
  </si>
  <si>
    <t xml:space="preserve">Complete when Slow WFS requirements are documented </t>
  </si>
  <si>
    <t>PSF calibration &amp; prediction</t>
  </si>
  <si>
    <r>
      <t>Determine the functional requirements for on-line and off-line PSF calibration and prediction using internal NGAO telemetry and auxiliary data, such as an external real-time C</t>
    </r>
    <r>
      <rPr>
        <vertAlign val="subscript"/>
        <sz val="10"/>
        <rFont val="Arial"/>
        <family val="2"/>
      </rPr>
      <t>n</t>
    </r>
    <r>
      <rPr>
        <vertAlign val="superscript"/>
        <sz val="10"/>
        <rFont val="Arial"/>
        <family val="2"/>
      </rPr>
      <t>2</t>
    </r>
    <r>
      <rPr>
        <sz val="10"/>
        <rFont val="Arial"/>
        <family val="2"/>
      </rPr>
      <t>(h) monitor.</t>
    </r>
  </si>
  <si>
    <t>Complete when requirements for auxiliary systems for use with NGAO are documented</t>
  </si>
  <si>
    <t xml:space="preserve">Verify error budget predictions through comparison with as-realized K2 LGS AO performance and simulation/lab results for tomography. </t>
  </si>
  <si>
    <t>Complete when reliability of budgeting tools has been documented</t>
  </si>
  <si>
    <t>Focus compensation</t>
  </si>
  <si>
    <t>Consider cost/benefit of different approaches to focus compensation due to sodium layer motion.  Include consideration of the proper combination of LGS focus, LOWFS focus and Slow WFS focus.</t>
  </si>
  <si>
    <t>Complete when focus tracking strategy has been documented and reflected in error budgets</t>
  </si>
  <si>
    <t>Evaluate the impact of DM-lenslet misregistration error for the high-order NGAO system.  Consider having a rotator between DM &amp; WFS, and having unavoidable latency in reconstructor updates.</t>
  </si>
  <si>
    <t>Complete when DM-lenslet registration requirements documented</t>
  </si>
  <si>
    <t>RTC requirements</t>
  </si>
  <si>
    <t>Evaluate the cost/benefit of direct vector-matrix-multiply (VMM) reconstruction algorithms vs. more numerically efficient techniques</t>
  </si>
  <si>
    <t>Complete when RTC requirements have been documented</t>
  </si>
  <si>
    <t>Consider use of field stars to maintain telescope focus or phasing, etc.  Evaluate the potential role of NGAO NGS HOWFS in updating telescope phasing between routine PCS phasing procedures.</t>
  </si>
  <si>
    <t>Complete when NGS HOWFS requirements have been documented.</t>
  </si>
  <si>
    <t>Consider the impact of centroid anisoplanatism (e.g. the tip/tilt error due to coma in the low-order WFS) and mitigation strategies, if necessary.  Evaluate the difference between Zernike (z-tilt) and centroid tilt (g-tilt) for NGAO sensors</t>
  </si>
  <si>
    <t>Consider the technical performance tradeoff for different LGS asterism geometries (e.g. quincunx, ring, 1+triangle, or hex) and asterism radii.  Include consideration of fixed or variable asterism radius in terms of optimizing Strehl of the tip/tilt stars and resulting sky coverage</t>
  </si>
  <si>
    <t>Determine the performance requirements, if any, of an atmospheric dispersion corrector within the NGS HOWFS.  Consider whether a restricted bandpass could be used to meet the science requirements?  (Requires improved NGS science requirements.)</t>
  </si>
  <si>
    <t>Keck NGAO Key  Trade Studies</t>
  </si>
  <si>
    <t>Operational Tools</t>
  </si>
  <si>
    <t>Real-time Control</t>
  </si>
  <si>
    <t>System Architecture</t>
  </si>
  <si>
    <t>Optical Design</t>
  </si>
  <si>
    <t>Field Rotation Strategy</t>
  </si>
  <si>
    <t>Deformable Mirror(s)</t>
  </si>
  <si>
    <t>Tip/Tilt Correction</t>
  </si>
  <si>
    <t>High-order Wavefront Sensing</t>
  </si>
  <si>
    <t>Low-order Wavefront Sensing</t>
  </si>
  <si>
    <t>Correcting fast T/T with a deformable mirror</t>
  </si>
  <si>
    <t>Tip/Tilt signal from laser beacons</t>
  </si>
  <si>
    <t>Rayleigh rejection</t>
  </si>
  <si>
    <t>Sodium Guide Star Laser</t>
  </si>
  <si>
    <t>K and L band science</t>
  </si>
  <si>
    <t>GLAO for non-NGAO instruments</t>
  </si>
  <si>
    <t>NGAO vs. Keck AO upgrades</t>
  </si>
  <si>
    <t>Infrastructure</t>
  </si>
  <si>
    <t>Reducing system emissivity</t>
  </si>
  <si>
    <t>Keck Telescope</t>
  </si>
  <si>
    <t>Systems Engineering</t>
  </si>
  <si>
    <t>Observing Scenarios</t>
  </si>
  <si>
    <t>Quality of long exposures</t>
  </si>
  <si>
    <t>Centroid anisoplanatism</t>
  </si>
  <si>
    <t>LGS wavefront sensor type</t>
  </si>
  <si>
    <t>Laser pulse format</t>
  </si>
  <si>
    <t>Instruments</t>
  </si>
  <si>
    <t>Near-IR deployable IFU Spectrograph</t>
  </si>
  <si>
    <t>Projector System</t>
  </si>
  <si>
    <t>Number and type of LOWFS</t>
  </si>
  <si>
    <t>Instrument Reuse</t>
  </si>
  <si>
    <t>Error budget model validation</t>
  </si>
  <si>
    <t>Calibration</t>
  </si>
  <si>
    <t>Stand-alone T/T mirror vs. DM on T/T stage</t>
  </si>
  <si>
    <t>Variable vs. fixed LGS asterism geometry</t>
  </si>
  <si>
    <t>Improve our understanding of the actual primary mirror wavefront errors and NGAO ability to correct for them.  Consider  static &amp;, more importantly, dynamical segment alignment &amp; phasing errors.  Determine the performance benefit of large LOWFS patrol field to enable use of the brightest possible NGS. Would a separate sensor outside the NGAO FoV be useful?</t>
  </si>
  <si>
    <t>NGAO role in telescope phasing</t>
  </si>
  <si>
    <t>High-contrast Imaging</t>
  </si>
  <si>
    <t>Identify approaches to mitigating primary-mirror segment effects on the high-contrast performance of NGAO (precision WFS, custom masks, etc.)</t>
  </si>
  <si>
    <t>Complete with high-contrast instrument requirements are documented</t>
  </si>
  <si>
    <t>Mitigating segmentation effects for high-contrast</t>
  </si>
  <si>
    <t>Develop a high-contrast budget</t>
  </si>
  <si>
    <t>Complete when flow-down of  high-contrast requirements to subsystems documented</t>
  </si>
  <si>
    <t>Model the NGAO high-contrast sensitivity as an end-to-end system and  develop a corresopnding high-contrast error budget.  Develop a proof-of-concept coronagraph mask design that meets NGAO high-contrast science requirements.</t>
  </si>
  <si>
    <t>Study</t>
  </si>
  <si>
    <t>Complete when performance estimates &amp; strategy for K- &amp; L-band observing documented</t>
  </si>
  <si>
    <t xml:space="preserve">Complete when enclosure operating temperature selected </t>
  </si>
  <si>
    <t>Consider the relative performance, cost, risk, and schedule of different strategies for K and L-band science optimization.  Compare a Nasmyth relay, an ASM &amp; a separate lower-order Nasmyth AO cryo-system</t>
  </si>
  <si>
    <t>Consider the performance, cost, risk, reliability &amp; maintainability of cooling a Nasmyth NGAO enclosure.  Calculate sensitivity impact as function of waveband (V through L-band)</t>
  </si>
  <si>
    <t>Complete when impact on current system documented &amp; impact on NGAO reviewed</t>
  </si>
  <si>
    <t>Evaluate the unique considerations for enabling long science exposures (e.g., 1 hr). Note that visible-light &amp; photon-starved IR IFU observations with NGAO will likely require longer exposures than today.  The impact of mechanical, thermal &amp; atmospheric changes should be understood.</t>
  </si>
  <si>
    <t>Complete when an analysis of the unique issues has been documented &amp; incorporated into the NGAO requirements</t>
  </si>
  <si>
    <t>DM &amp; tip/tilt offloading</t>
  </si>
  <si>
    <t>Instrument balance</t>
  </si>
  <si>
    <t>Consider the relative merit of installing NGAO on Keck I vs Keck II. This must take into account the long-term instrumentation strategy for Keck, available laser infrastructure, and impact on operations.</t>
  </si>
  <si>
    <t>Determine the observation requirements for 1 or more dichroic changers. Different observing programs may desire different distributions of light among HO WFS, LO WFS &amp; science light paths.</t>
  </si>
  <si>
    <t>Complete when dichroic changer requirements documented</t>
  </si>
  <si>
    <t>Complete when offloading requirements documented</t>
  </si>
  <si>
    <t>Complete when architecture &amp; location requirements documented</t>
  </si>
  <si>
    <t>Determine the requirements for NGAO offloading of high-order &amp; tip/tilt aberrations to ACS, M2 position &amp; telescope pointing. The available DM stroke &amp; time-evolution of seeing &amp; telescope wavefront errors affect this requirement. Would the error budget be significantly reduced by offloading segment tip/tilt and/or piston to ACS?</t>
  </si>
  <si>
    <t>High</t>
  </si>
  <si>
    <t>Medium</t>
  </si>
  <si>
    <t>Low</t>
  </si>
  <si>
    <t>Laser Enclosure</t>
  </si>
  <si>
    <t>Clean room</t>
  </si>
  <si>
    <t>Subsystem</t>
  </si>
  <si>
    <t>Key Features</t>
  </si>
  <si>
    <t>Humidity control</t>
  </si>
  <si>
    <t>Thermal control</t>
  </si>
  <si>
    <t>Thermally insulated electronics</t>
  </si>
  <si>
    <t>Glycol heat exchanger</t>
  </si>
  <si>
    <t xml:space="preserve">Laser </t>
  </si>
  <si>
    <t>Mode-locked CW</t>
  </si>
  <si>
    <t>Locate on or under Nasmyth enclosure</t>
  </si>
  <si>
    <t>M2 &lt; 1.2</t>
  </si>
  <si>
    <t>Risk</t>
  </si>
  <si>
    <t>Linearly polarized output</t>
  </si>
  <si>
    <t>Beam Transport</t>
  </si>
  <si>
    <t>T &gt;= 0.71</t>
  </si>
  <si>
    <t>Trade Study</t>
  </si>
  <si>
    <t>Pointing &amp; Diagnostics</t>
  </si>
  <si>
    <t>Package located between fiber output &amp; launch telescope</t>
  </si>
  <si>
    <t>Switchable coupling into 5 or 10 fibers</t>
  </si>
  <si>
    <t>4 fibers move radially between 10-50"</t>
  </si>
  <si>
    <t>Circularly polarized output</t>
  </si>
  <si>
    <t>Power measurement</t>
  </si>
  <si>
    <t>Motion Control</t>
  </si>
  <si>
    <t>Launch Telescope</t>
  </si>
  <si>
    <t>Located on-axis behind secondary</t>
  </si>
  <si>
    <t>Good image quality</t>
  </si>
  <si>
    <t>50 cm diameter</t>
  </si>
  <si>
    <t>Up-link tip/tilt mirror (UTT) +/- 2"</t>
  </si>
  <si>
    <t>Field rotation compensation &gt; 90 deg</t>
  </si>
  <si>
    <t>T &gt;= 0.85</t>
  </si>
  <si>
    <t>Unobstructed output</t>
  </si>
  <si>
    <t>Galileo-Avionica has built two afocal telescopes (Gemini &amp; Subaru)</t>
  </si>
  <si>
    <t>Safety</t>
  </si>
  <si>
    <t>Personnel safety system</t>
  </si>
  <si>
    <t>Equipment safety system</t>
  </si>
  <si>
    <t>Aircraft safety system</t>
  </si>
  <si>
    <t>Participation with Space Command</t>
  </si>
  <si>
    <t>Integration into Mauna Kea LTC system</t>
  </si>
  <si>
    <t>Power &amp; image quality needed by wavefront error budget</t>
  </si>
  <si>
    <t>For alignment &amp; flexure compensation</t>
  </si>
  <si>
    <t>Pointing over 60" fov</t>
  </si>
  <si>
    <t>Atmospheric compensation</t>
  </si>
  <si>
    <t>To keep asterism fixed on sky</t>
  </si>
  <si>
    <t>Optimal sodium coupling</t>
  </si>
  <si>
    <t>Length ~ 25 m (Nasmyth to top end)</t>
  </si>
  <si>
    <t>Discussion</t>
  </si>
  <si>
    <t>AO Enclosure</t>
  </si>
  <si>
    <t>Optics area cooled to -15C</t>
  </si>
  <si>
    <t>Separate electronics enclosure wih glycol cooling</t>
  </si>
  <si>
    <t>Optical Relay</t>
  </si>
  <si>
    <t>4 arcmin diameter unvignetted field</t>
  </si>
  <si>
    <t>1 fiber on-axis</t>
  </si>
  <si>
    <t>High Strehl asterism: 1 LGS on-axis &amp; 4 at 10-50".  Wide field (4'): 4 at ~30" &amp; 6 at 90".</t>
  </si>
  <si>
    <t>Laser Traffic Control (LTC)</t>
  </si>
  <si>
    <t>Background light suppression</t>
  </si>
  <si>
    <t>3 mirror (K-mirror) image rotator</t>
  </si>
  <si>
    <t>Deformable Mirror</t>
  </si>
  <si>
    <t>DM location at telescope pupil</t>
  </si>
  <si>
    <t>62 subapertures across 10.949 m telescope primary mirror (65 actuator DM)</t>
  </si>
  <si>
    <t>3 um surface stroke</t>
  </si>
  <si>
    <t>DM mounted on tip/tilt stage</t>
  </si>
  <si>
    <t>Located on Keck II left Nasmyth platform</t>
  </si>
  <si>
    <r>
      <t>±</t>
    </r>
    <r>
      <rPr>
        <sz val="10"/>
        <rFont val="Arial"/>
        <family val="0"/>
      </rPr>
      <t xml:space="preserve"> 2" on sky at 50 Hz closed loop BW</t>
    </r>
  </si>
  <si>
    <r>
      <t>±</t>
    </r>
    <r>
      <rPr>
        <sz val="10"/>
        <rFont val="Arial"/>
        <family val="0"/>
      </rPr>
      <t xml:space="preserve"> 5" on sky at 5 Hz</t>
    </r>
  </si>
  <si>
    <t>Option for DM to perform high BW</t>
  </si>
  <si>
    <t>Tip/tilt correction</t>
  </si>
  <si>
    <t>Chopping at pupil</t>
  </si>
  <si>
    <t>Optical Switchyard</t>
  </si>
  <si>
    <t>Atmospheric Dispersion Correction</t>
  </si>
  <si>
    <t>Pointing corrections between wavefront sensing &amp; science wavelengths</t>
  </si>
  <si>
    <t>LGS Wavefront Sensors (WFS)</t>
  </si>
  <si>
    <t>4x4 pixels/subaperture</t>
  </si>
  <si>
    <t>Removable visible atmospheric dispersion corrector (ADC) for visible science instruments</t>
  </si>
  <si>
    <t>Removable IR ADC for NIR science instruments &amp; low order wavefront sensor</t>
  </si>
  <si>
    <t>For dispersion correction</t>
  </si>
  <si>
    <t>x,y control for assembly</t>
  </si>
  <si>
    <t>Center WFS located on-axis</t>
  </si>
  <si>
    <t>3 pyramid WFSs</t>
  </si>
  <si>
    <t>Tip, tilt, focus, astigmatism sensing from NGS</t>
  </si>
  <si>
    <t>2x2 subapertures per WFS</t>
  </si>
  <si>
    <t>2x2 pixels per subaperture</t>
  </si>
  <si>
    <t>0.9-1.7 um SNAP detector thermoelectrically cooled to -40C</t>
  </si>
  <si>
    <t>Sodium rejection notch filter</t>
  </si>
  <si>
    <t>MOAO-correction for each LOWFS with 32x32 actuator MEMs mirror</t>
  </si>
  <si>
    <t>Move over 4' field to acquire NGS</t>
  </si>
  <si>
    <t>Fast low order (LO) NGS WFS</t>
  </si>
  <si>
    <t>Slow NGS WFS</t>
  </si>
  <si>
    <t>Visible light Shack-Hartmann</t>
  </si>
  <si>
    <t>12x12 subapertures</t>
  </si>
  <si>
    <t>8x8 pixels/subaperture</t>
  </si>
  <si>
    <t>5-120 sec exposures</t>
  </si>
  <si>
    <t xml:space="preserve">To sense slowly varying sodium layer induced aberrations seen by LGS WFS </t>
  </si>
  <si>
    <t xml:space="preserve">Move around 2' diameter field </t>
  </si>
  <si>
    <t>NGS WFS</t>
  </si>
  <si>
    <t>NGS mode only</t>
  </si>
  <si>
    <t>To acquire NGS</t>
  </si>
  <si>
    <t>To reject Rayleigh</t>
  </si>
  <si>
    <t>Same as LGS WFS but over visible</t>
  </si>
  <si>
    <t>Spatial filter</t>
  </si>
  <si>
    <t>Move around 1' diameter field</t>
  </si>
  <si>
    <t>NGS acquisition camera</t>
  </si>
  <si>
    <t>LGS acquisition camera</t>
  </si>
  <si>
    <t>Translate to stay conjugate to Na layer</t>
  </si>
  <si>
    <t>Tip/Tilt Stage</t>
  </si>
  <si>
    <t>Calibration unit</t>
  </si>
  <si>
    <t>Telescope simulator</t>
  </si>
  <si>
    <t>Rotating pupil</t>
  </si>
  <si>
    <t>5 (expandable to 11) LGS sources with variable focus</t>
  </si>
  <si>
    <t>Turbulence generator</t>
  </si>
  <si>
    <t>Instrument calibration arc lamps</t>
  </si>
  <si>
    <t>Alignment &amp; Diagnostic Tools</t>
  </si>
  <si>
    <t>Telescope Interfaces</t>
  </si>
  <si>
    <t>Tip/tilt offload to telescope pointing</t>
  </si>
  <si>
    <t>Focus offload to secondary mirror piston</t>
  </si>
  <si>
    <t>Segment stacking offload to ACS</t>
  </si>
  <si>
    <t>Centroiding</t>
  </si>
  <si>
    <t>3.5 mm actuator pitch (217 mm pupil at DM)</t>
  </si>
  <si>
    <t>62x62 &amp; 31x31 lenslet options</t>
  </si>
  <si>
    <t>62x62 &amp; 31x31 subaperture option</t>
  </si>
  <si>
    <t>48x48 subaperture baseline</t>
  </si>
  <si>
    <t>Automation &amp; Optimization</t>
  </si>
  <si>
    <t>Telemetry system</t>
  </si>
  <si>
    <t>MASS/DIMM</t>
  </si>
  <si>
    <t>Performance automation tools</t>
  </si>
  <si>
    <t>Observing setup</t>
  </si>
  <si>
    <t>Astronomer Planning Tools</t>
  </si>
  <si>
    <t>Automated AO focus versus instrument configuration</t>
  </si>
  <si>
    <t>Nodding</t>
  </si>
  <si>
    <t>Chopping</t>
  </si>
  <si>
    <t xml:space="preserve">Based on emissivity budget. </t>
  </si>
  <si>
    <t>Window to transmit 0.55-14 um</t>
  </si>
  <si>
    <t>Shutter to protect window</t>
  </si>
  <si>
    <t>Ventilation for personnel</t>
  </si>
  <si>
    <t>Collimates beam &amp; reimages primary onto DM.  Conjugate to altitude for MCAO upgrade.</t>
  </si>
  <si>
    <t>Window availability</t>
  </si>
  <si>
    <t>Required by cooled AO enclosure</t>
  </si>
  <si>
    <t>Impact on DM performance</t>
  </si>
  <si>
    <t>2-position dichroic changer with: 1) T=1-14 &amp; R=0.5-1.0 um.  2) T=0.9-5 &amp; R=0.5-0.9 um.</t>
  </si>
  <si>
    <t>Transmits light to IR science instruments &amp; wavefront sensors</t>
  </si>
  <si>
    <t xml:space="preserve">Reflects z &amp; J or H or K-band or all light to IR science instrument. Transmits to low order WFS &amp; possibly an IR WFS. </t>
  </si>
  <si>
    <t>2-position dichroic changer with: 1) T = 0.4-0.6 &amp; R = 0.6-1.0 um. 2) Open</t>
  </si>
  <si>
    <t>Reflects light to science instrument &amp; transmits to visible WFS</t>
  </si>
  <si>
    <t>5-position dichroic changer with: 1) T=0.9-1.7 &amp; R = 1.9-5 um. 2) T=0.9-1.35 &amp; R = 1.5-5 um. 3) T = 1.4-1.7 &amp; R = 0.9-1.35 um. 4) Mirror. 5) Open</t>
  </si>
  <si>
    <t>Reflects light to either the NGS WFS or the slow NGS WFS.</t>
  </si>
  <si>
    <t>2x 2-position mirror: in &amp; out</t>
  </si>
  <si>
    <t>One each to reflect light to NGS acquisition camera &amp; LGS acquisition camera</t>
  </si>
  <si>
    <t>2x Rotation stages for dichroics</t>
  </si>
  <si>
    <t>One to select IR science instrument &amp; one to select visible science instrument</t>
  </si>
  <si>
    <t>Lenslets not registered to actuators</t>
  </si>
  <si>
    <t>256x256 pixel CCD with 1e read-noise at 1 kHz readout rate</t>
  </si>
  <si>
    <t>5 single mode fibers + spares</t>
  </si>
  <si>
    <t>Fiber SRS threshold inadequate for 40W/fiber</t>
  </si>
  <si>
    <t>VLT using Mitsubishi fibers for 10W CW.  Mode-locked laser doesn't produce SBS as confirmed by Subaru experiment. CTI testing fibers.  Backup: combine fiber outputs at top-end or use beam transport system.</t>
  </si>
  <si>
    <t>Adequate space for laser</t>
  </si>
  <si>
    <t>62x62 offers a graceful fallback from 48x48.  31x31 for low sodium return case</t>
  </si>
  <si>
    <t xml:space="preserve">Motion to register lenslets. </t>
  </si>
  <si>
    <t>Relative performance of 2x2, 4x4 &amp; 8x8</t>
  </si>
  <si>
    <t>Tracking</t>
  </si>
  <si>
    <t>To compensate for differential atmospheric refraction between science &amp; NGS wavelengths, &amp;/or differential tracking.  Could use 1-stage?</t>
  </si>
  <si>
    <t>Interferometer to look at DM?</t>
  </si>
  <si>
    <t>Performance monitoring tools</t>
  </si>
  <si>
    <t>Performance prediction tools</t>
  </si>
  <si>
    <t>Science instrument &amp; DCS interface</t>
  </si>
  <si>
    <t>Acquisition automation</t>
  </si>
  <si>
    <t>Budget</t>
  </si>
  <si>
    <t>Science object wavelength</t>
  </si>
  <si>
    <t>Magnitude limit</t>
  </si>
  <si>
    <t>Desired SNR</t>
  </si>
  <si>
    <t>Typical exposure time</t>
  </si>
  <si>
    <t>Companion sensitivity</t>
  </si>
  <si>
    <t>Wavefront Error Budget</t>
  </si>
  <si>
    <t>Image quality</t>
  </si>
  <si>
    <t>Sky coverage</t>
  </si>
  <si>
    <t>Photometric accuracy</t>
  </si>
  <si>
    <t>Astrometric accuracy</t>
  </si>
  <si>
    <t>Polarimetry accuracy</t>
  </si>
  <si>
    <t>Observing Efficiency</t>
  </si>
  <si>
    <t>Facility-class</t>
  </si>
  <si>
    <t>Up-time</t>
  </si>
  <si>
    <t>Electrical Power</t>
  </si>
  <si>
    <t>Thermal Dissipation</t>
  </si>
  <si>
    <t>Weight</t>
  </si>
  <si>
    <t>&lt; 0.5%</t>
  </si>
  <si>
    <t>Companion Sensitivity</t>
  </si>
  <si>
    <t>120 nm for 1% sky coverage</t>
  </si>
  <si>
    <t>140 nm for 20% sky coverage</t>
  </si>
  <si>
    <t>160 nm for 80% sky coverage</t>
  </si>
  <si>
    <t>Recommended Value</t>
  </si>
  <si>
    <t>Throughput to Science Instrument (telescope + AO)</t>
  </si>
  <si>
    <t>Emissivity to Science Instrument (telescope + AO)</t>
  </si>
  <si>
    <t>&lt;= sky emissivity at K, L &amp; M</t>
  </si>
  <si>
    <t>&gt;= 70% at 0.6-5.5 um</t>
  </si>
  <si>
    <t>&gt;= 60% at 5.5-14 um</t>
  </si>
  <si>
    <t>Based on Requirements</t>
  </si>
  <si>
    <t>&lt;= 5% of time lost to problems</t>
  </si>
  <si>
    <t>&lt;= 50W at top-end</t>
  </si>
  <si>
    <t>&lt;= 100W from laser system</t>
  </si>
  <si>
    <t>&lt;= 100W from AO system</t>
  </si>
  <si>
    <t>&lt;= 10,000 kg for laser system</t>
  </si>
  <si>
    <t>&lt;= 10,000 kg for AO system</t>
  </si>
  <si>
    <t>&lt;= 10 kW for AO system</t>
  </si>
  <si>
    <t>&lt;= 20 kW for laser system</t>
  </si>
  <si>
    <t>&lt;= 20 min overhead per night</t>
  </si>
  <si>
    <t xml:space="preserve">&lt;= 120 sec between end of slew &amp; ready for science exposure </t>
  </si>
  <si>
    <t>&lt;= 10 sec between start of nod command &amp; ready for science exposure</t>
  </si>
  <si>
    <t>&lt;= 120 sec to switch between LGS &amp; NGS mode</t>
  </si>
  <si>
    <t>&lt;= 600 sec to switch between NGS &amp; LGS mode (assuming daytime setup)</t>
  </si>
  <si>
    <t>&lt;= 120 sec to switch between science instruments (assuming daytime setup)</t>
  </si>
  <si>
    <t>&gt; 4 magnitudes at 0.055" at 1-2.5 um for Galactic Center</t>
  </si>
  <si>
    <t>&gt; 10 mags at 0.5" at 0.7-3.5 um for 30% sky coverage &amp; &lt; 20" object diameter</t>
  </si>
  <si>
    <t>0.02 mag at 0.7-3.5 um for &lt; 10" from H&lt;16 NGS</t>
  </si>
  <si>
    <t>0.01 mag at 0.7-2.5 um for &lt; 5" from H &lt; 16 NGS</t>
  </si>
  <si>
    <t>0.05 mag at 0.9-2.5 um for &lt; 20" off-axis &amp; 20% sky coverage</t>
  </si>
  <si>
    <t>0.1 mag at 0.7-2.5 um for &lt; 20" off-axis &amp; 20% sky coverage</t>
  </si>
  <si>
    <t>0.1 mas for Galactic Center</t>
  </si>
  <si>
    <t xml:space="preserve">&lt; 10 mas for 0.7-3.5 um &amp; 30% sky coverage </t>
  </si>
  <si>
    <t>&lt; 50 mas for 0.7-3.5 um &amp; 50% sky coverage</t>
  </si>
  <si>
    <t>3 NGS sources (1 movable)</t>
  </si>
  <si>
    <t>Translating fold mirror to insert beam</t>
  </si>
  <si>
    <t>~ sodium wavelength light source</t>
  </si>
  <si>
    <t>Image processing</t>
  </si>
  <si>
    <t>Slope to phase</t>
  </si>
  <si>
    <t>Calibration correction</t>
  </si>
  <si>
    <t>Back projection</t>
  </si>
  <si>
    <t>Forward projection</t>
  </si>
  <si>
    <t>Fourier transform</t>
  </si>
  <si>
    <t>Aperture mask</t>
  </si>
  <si>
    <t>Projection to DM</t>
  </si>
  <si>
    <t>Fitting DM influence function</t>
  </si>
  <si>
    <t>Real-Time Computations</t>
  </si>
  <si>
    <t>Real-time Computer</t>
  </si>
  <si>
    <t>5x LGS WFS</t>
  </si>
  <si>
    <t>6x LGS WFS for WF mode</t>
  </si>
  <si>
    <t>3x Low order WFS</t>
  </si>
  <si>
    <t>1x Slow WFS</t>
  </si>
  <si>
    <t>1x NGW WFS</t>
  </si>
  <si>
    <t>62x62 actuator DM</t>
  </si>
  <si>
    <t>3x 32x32 actuator MEMs</t>
  </si>
  <si>
    <t>Altitude conjugate DM for WF mode</t>
  </si>
  <si>
    <t>Tip/tilt computation</t>
  </si>
  <si>
    <t>Up-link tip/tilt computation</t>
  </si>
  <si>
    <t>Initial</t>
  </si>
  <si>
    <t>Rayleigh light on WFS</t>
  </si>
  <si>
    <t>How to remove or calibrate out Rayleigh background</t>
  </si>
  <si>
    <t>CCID-56 under development</t>
  </si>
  <si>
    <t>CCD not demonstrated yet</t>
  </si>
  <si>
    <t>Tracking to stay conjugate to Na layer</t>
  </si>
  <si>
    <t>Four WFS translate radially from 10-50".  Also need z-adjustment for field curvature.</t>
  </si>
  <si>
    <t>5 Shack-Hartmann WFSs (need space for 6 more in future)</t>
  </si>
  <si>
    <t>x,y control for 5 lenslets for DM registration &amp; changing lenslets</t>
  </si>
  <si>
    <t>Replaces oldest AO system</t>
  </si>
  <si>
    <t>Option to upgrade above mirror to SiC DM</t>
  </si>
  <si>
    <t>MOAO/MEMs not demonstrated on sky</t>
  </si>
  <si>
    <t>Camera not yet demonstrated</t>
  </si>
  <si>
    <t>Based on SNAP tests at Caltech</t>
  </si>
  <si>
    <t>MOAO &amp; MEMs being demonstrated in Lick AO laboratory</t>
  </si>
  <si>
    <t>Not yet demonstrated to provide good sky correction</t>
  </si>
  <si>
    <t>Large &amp; difficult dichroics. Changing will impact lenslet-DM registration.</t>
  </si>
  <si>
    <t>Dichroic capabilities</t>
  </si>
  <si>
    <t>Support Structure</t>
  </si>
  <si>
    <t>Mounting to Nasmyth platform</t>
  </si>
  <si>
    <t>Optics bench</t>
  </si>
  <si>
    <t>Cover</t>
  </si>
  <si>
    <t>WFS Electronics &amp; Interfaces</t>
  </si>
  <si>
    <t>DM Electronics &amp; Interfaces</t>
  </si>
  <si>
    <t>Camera Control</t>
  </si>
  <si>
    <t>VME crate</t>
  </si>
  <si>
    <t>VxWorks</t>
  </si>
  <si>
    <t>PowerPC</t>
  </si>
  <si>
    <t>PMAC servo control</t>
  </si>
  <si>
    <t>Control</t>
  </si>
  <si>
    <t>EPICS</t>
  </si>
  <si>
    <t>Keywords</t>
  </si>
  <si>
    <t>Servo amplifiers</t>
  </si>
  <si>
    <t xml:space="preserve">Keck standard guider cameras for NGS &amp; LGS acquisition cameras </t>
  </si>
  <si>
    <t>Monitoring</t>
  </si>
  <si>
    <t>Thermistors located around enclosure &amp; bench &amp; near critical components</t>
  </si>
  <si>
    <t>Dust monitor</t>
  </si>
  <si>
    <t>Humidity monitor</t>
  </si>
  <si>
    <t>Video cameras to view enclosure/bench</t>
  </si>
  <si>
    <t>Cables</t>
  </si>
  <si>
    <t>Standard cables &amp; connectors</t>
  </si>
  <si>
    <t>Connector interface at edge of bench</t>
  </si>
  <si>
    <t>Standard motors</t>
  </si>
  <si>
    <t>Standard encoders</t>
  </si>
  <si>
    <t>Hall effect limit switches (no lights)</t>
  </si>
  <si>
    <t>Encoder light sources must be well baffled</t>
  </si>
  <si>
    <t>Racks</t>
  </si>
  <si>
    <t>Standard racks</t>
  </si>
  <si>
    <t>Earthquake restraints</t>
  </si>
  <si>
    <t>Vibration isolation</t>
  </si>
  <si>
    <t>Low noise cooling fans</t>
  </si>
  <si>
    <t>Astronomer UI</t>
  </si>
  <si>
    <t>Engineering tools</t>
  </si>
  <si>
    <t>Troubleshooting</t>
  </si>
  <si>
    <t>User interfaces</t>
  </si>
  <si>
    <t>Performance monitoring</t>
  </si>
  <si>
    <t>AO system configuration</t>
  </si>
  <si>
    <t>Laser system configuration</t>
  </si>
  <si>
    <t>AO system calibrations</t>
  </si>
  <si>
    <t>Laser system calibrations</t>
  </si>
  <si>
    <t>Operator UIs</t>
  </si>
  <si>
    <t>Documentation</t>
  </si>
  <si>
    <t>Total =</t>
  </si>
  <si>
    <t>4' diameter fixed field at LGS focus</t>
  </si>
  <si>
    <t>4' diameter fixed field at NGS focus</t>
  </si>
  <si>
    <t>Sodium transmissive dichroic (T=0.589 &amp; R = 0.4-0.58 or 0.6 um)</t>
  </si>
  <si>
    <t>Focus is nominally 276 mm beyond the elevation journal</t>
  </si>
  <si>
    <t>Nasmyth platform is 5.52 m deep (narrowest point) &amp; 9.41 m wide (an ~ 1 m extension was added on the left side)</t>
  </si>
  <si>
    <t>1 mm of secondary piston moves the focal plane by 72 mm &amp; introduces 1.2 um of spherical aberration (P-V)</t>
  </si>
  <si>
    <t>Plate scale is 0.727 mm/arcsec</t>
  </si>
  <si>
    <t>10.949 m pupil corresponds to an f/13.66 focal ratio and a 1.460 m exit pupil located 19.948 mm in front of the focal plane</t>
  </si>
  <si>
    <t>Mirrors</t>
  </si>
  <si>
    <t>Nasmyth Platform</t>
  </si>
  <si>
    <t>Plate scale</t>
  </si>
  <si>
    <t>Primary, f/15 secondary &amp; tertiary</t>
  </si>
  <si>
    <t>Output beam</t>
  </si>
  <si>
    <t>Focus</t>
  </si>
  <si>
    <t>Elevation axis</t>
  </si>
  <si>
    <t>Nominally 1.596 m above the Nasmyth platform structure</t>
  </si>
  <si>
    <t>Secondary piston &amp; aberrations</t>
  </si>
  <si>
    <t>Primary</t>
  </si>
  <si>
    <t>Radius of curvature = 34.9740 m</t>
  </si>
  <si>
    <t>Diameter = 10.949 m</t>
  </si>
  <si>
    <t>Conic constant = -1.003683</t>
  </si>
  <si>
    <t>F/15 Secondary</t>
  </si>
  <si>
    <t>Final focal length = 149.583 m</t>
  </si>
  <si>
    <t>Conic constant = -1.644326</t>
  </si>
  <si>
    <r>
      <t>Diameter (0</t>
    </r>
    <r>
      <rPr>
        <sz val="10"/>
        <rFont val="Symbol"/>
        <family val="1"/>
      </rPr>
      <t>°</t>
    </r>
    <r>
      <rPr>
        <sz val="10"/>
        <rFont val="Arial"/>
        <family val="2"/>
      </rPr>
      <t xml:space="preserve"> fov) = 1.310 m</t>
    </r>
  </si>
  <si>
    <t>Radius of curvature = -4.7379 m</t>
  </si>
  <si>
    <t>Primary-secondary distance = 15.395 m</t>
  </si>
  <si>
    <t>Diameter = 1.399 m</t>
  </si>
  <si>
    <t>Focal radius of curvature = 2.1236 m</t>
  </si>
  <si>
    <t>Aluminum coatings</t>
  </si>
  <si>
    <t>White light source with ND filter wheel</t>
  </si>
  <si>
    <t>Conjugate to 9.0 km.</t>
  </si>
  <si>
    <t>Off-axis parabola (OAP1)</t>
  </si>
  <si>
    <t>Identical to OAP1. Reconverges beam at same focal ratio &amp; with same pupil location as that of the telescope.</t>
  </si>
  <si>
    <t>Off-axis parabola (OAP2)</t>
  </si>
  <si>
    <t>Ref. #</t>
  </si>
  <si>
    <t>Rank</t>
  </si>
  <si>
    <t>Description</t>
  </si>
  <si>
    <t>Severity</t>
  </si>
  <si>
    <t>Probability 1st WAG</t>
  </si>
  <si>
    <t>Mitigation Plans</t>
  </si>
  <si>
    <t>Achieving science requirements.</t>
  </si>
  <si>
    <t>a</t>
  </si>
  <si>
    <t>Long exposure time performance.</t>
  </si>
  <si>
    <t>Moderate</t>
  </si>
  <si>
    <t>Likely</t>
  </si>
  <si>
    <t>On instrument metrology</t>
  </si>
  <si>
    <t>b</t>
  </si>
  <si>
    <t>(add other parameters?)</t>
  </si>
  <si>
    <t>Science requirements inadequately understood &amp; changing.</t>
  </si>
  <si>
    <t>Major</t>
  </si>
  <si>
    <t>Talk to the astronomers a lot</t>
  </si>
  <si>
    <t>Delivered PSF too variable (spatially and temporally) to satsify astrometry and photometry requirements</t>
  </si>
  <si>
    <t>Possible</t>
  </si>
  <si>
    <t>Adequately meeting interferometer needs</t>
  </si>
  <si>
    <t>Unk</t>
  </si>
  <si>
    <t>Review proposed performance with KI team</t>
  </si>
  <si>
    <t>Rayleigh background on LGS WFS cannot calibrated out.</t>
  </si>
  <si>
    <t>Issue for GS MCAO, will be tested by them.  Use long period pulsed laser and eletronic shutter on HOWFS CCD to gate out Rayleigh</t>
  </si>
  <si>
    <t>Wavefront error budget assumptions &amp; accuracy</t>
  </si>
  <si>
    <t>Bandwidth error assumptions.  Assumption that closed loop bandwidth is 1/15 of sample rate.  The rate of ~1/20 has been demonstrated, but would significantly impact error budget.</t>
  </si>
  <si>
    <t>Unlikely</t>
  </si>
  <si>
    <t>Invesitgate and simulate control loop impact.</t>
  </si>
  <si>
    <t>Sodium return expectations not met</t>
  </si>
  <si>
    <t>Refine and adjust assumptions based on data from current systems</t>
  </si>
  <si>
    <t>c</t>
  </si>
  <si>
    <t>1e- CCDs for WFS.</t>
  </si>
  <si>
    <t>Another design turn for CCID-56, more laser power</t>
  </si>
  <si>
    <t>d</t>
  </si>
  <si>
    <t>Impact of telescope vibration.</t>
  </si>
  <si>
    <t>Reduce telescope vibrations</t>
  </si>
  <si>
    <t>e</t>
  </si>
  <si>
    <t>Tomography.  No sky demonstration.</t>
  </si>
  <si>
    <t>i</t>
  </si>
  <si>
    <t>Codes contain assumptions that are untested in actual operating conditions</t>
  </si>
  <si>
    <t>Refine and adjust assumptions based on testing</t>
  </si>
  <si>
    <t>ii</t>
  </si>
  <si>
    <t>Alignment and registration - beacons and WFS</t>
  </si>
  <si>
    <t>Design opto-mechanics for closed loop beacon positioning and stability.  Implement test procedures during I&amp;T to ensure proper alignment and registration.</t>
  </si>
  <si>
    <t>g</t>
  </si>
  <si>
    <t>Tip/tilt tomography.  No sky demonstration of benefits of multiple TT stars</t>
  </si>
  <si>
    <t>Rotating LGS constellation limits performance for long exposures</t>
  </si>
  <si>
    <t>De-rotate, configurable  add beacons?</t>
  </si>
  <si>
    <t>MCAO mirrors are not at proper conjigates or correct "statistical position" for the actual Cn^2 profile</t>
  </si>
  <si>
    <t>Get MASS/DIMM data for Mauna Kea before detailed design phase</t>
  </si>
  <si>
    <t>Achieving contrast performance budget.</t>
  </si>
  <si>
    <t>(Need to verify science requirements)</t>
  </si>
  <si>
    <t>Achieving defined photometry budget</t>
  </si>
  <si>
    <t>Achieving defined astrometry budget</t>
  </si>
  <si>
    <t>Achieving desired SNRs</t>
  </si>
  <si>
    <t>Managing throughput in optical design, making provisions for long exposure stability</t>
  </si>
  <si>
    <t>Achieving polarimetry requirement</t>
  </si>
  <si>
    <t>Control effects that rotate or scramble polarization</t>
  </si>
  <si>
    <t>Risk of not being able to find adequate tip/tilt stars for certain science cases.</t>
  </si>
  <si>
    <t>Minor</t>
  </si>
  <si>
    <t>System provides gradual degradation, TT stars AO corrected</t>
  </si>
  <si>
    <t>Fiber transport.  Mitigation is conventional beam transport.</t>
  </si>
  <si>
    <t>Testing programs underway for fibers.</t>
  </si>
  <si>
    <t>Availability of 65 actuator DM with 3.5 mm pitch with adequate stroke.</t>
  </si>
  <si>
    <t>Use 48 x 48, 5 mm, add a second DM</t>
  </si>
  <si>
    <t>DM on a tip/tilt stage.</t>
  </si>
  <si>
    <t>DM incompatible with operation on TT stage</t>
  </si>
  <si>
    <t>Use a separate TT mirror</t>
  </si>
  <si>
    <t>Problems with DM interface cabling on TT stage</t>
  </si>
  <si>
    <t>Address in DM design</t>
  </si>
  <si>
    <t>Insufficient TT rejection</t>
  </si>
  <si>
    <t>Add a second TT mirror</t>
  </si>
  <si>
    <t xml:space="preserve">Switchyard approach: </t>
  </si>
  <si>
    <t>Dichroics.  Size and performance.</t>
  </si>
  <si>
    <t>(at report we will not have this level of risk).  Test coating samples to confirm performance before completing design</t>
  </si>
  <si>
    <t>Performance and reliability of dichroic changers.</t>
  </si>
  <si>
    <t>K-mirror.  Size, performance.</t>
  </si>
  <si>
    <t>Other architectures for derotation, better coatings</t>
  </si>
  <si>
    <t>Achieving real-time control performance requirements</t>
  </si>
  <si>
    <t>Benchmark tests, simiulations anchored to RTC hardware performance, prototype testing</t>
  </si>
  <si>
    <t>Fitting system on telescope.</t>
  </si>
  <si>
    <t>Design process will ensure compatible system</t>
  </si>
  <si>
    <t>Thermal/mechanical performance of AO system environmental enclosure.</t>
  </si>
  <si>
    <t>Careful design, thermal performance modeling including FEA.</t>
  </si>
  <si>
    <t>Design &amp; cost of interfacing with existing instruments exceeds value of doing so</t>
  </si>
  <si>
    <t>Replace those instruments</t>
  </si>
  <si>
    <t>Availability of required lasers.</t>
  </si>
  <si>
    <t>Continue to pursue laser development</t>
  </si>
  <si>
    <t>MOAO not demonstrated.</t>
  </si>
  <si>
    <t>MCAO gives reasonable sky coverage, VILLAGES testing  planned.  Other testing programs, perhaps on existing Keck AO system.</t>
  </si>
  <si>
    <t>Fast LOWFS IR (SNAP) based camera.</t>
  </si>
  <si>
    <t>Detector performance</t>
  </si>
  <si>
    <t>Some performance data on hand.  Testing continues.</t>
  </si>
  <si>
    <t>Detector availability</t>
  </si>
  <si>
    <t>Two sources of supply</t>
  </si>
  <si>
    <t>Calibration unit with LGS simulators.</t>
  </si>
  <si>
    <t>Finding space for it</t>
  </si>
  <si>
    <t>Will be designed in from the beginning as an essential capability</t>
  </si>
  <si>
    <t>Achieving required level of performance</t>
  </si>
  <si>
    <t>On-sky calibration can substitute at greater expense.</t>
  </si>
  <si>
    <t>#</t>
  </si>
  <si>
    <t>Priority</t>
  </si>
  <si>
    <t>DM-lenslet registration</t>
  </si>
  <si>
    <t>Slow WFS</t>
  </si>
  <si>
    <t>NGS HOWFS ADC</t>
  </si>
  <si>
    <t>NGS HOWFS</t>
  </si>
  <si>
    <t>Science instruments</t>
  </si>
  <si>
    <t>LGS WFS pixels</t>
  </si>
  <si>
    <t>= complete</t>
  </si>
  <si>
    <t>Dichroics</t>
  </si>
  <si>
    <t>Procure $k</t>
  </si>
  <si>
    <t>Design pm</t>
  </si>
  <si>
    <t>Implement pm</t>
  </si>
  <si>
    <t>Based on 3x 50W CTI laser</t>
  </si>
  <si>
    <t>150 W</t>
  </si>
  <si>
    <t>Servers</t>
  </si>
  <si>
    <t>Scope</t>
  </si>
  <si>
    <t>Relay Optical Design</t>
  </si>
  <si>
    <t>Consider the relative performance, cost &amp; risk of an OAP &amp; Offner relay.  Consider image quality vs. FoV, pupil image quality &amp; the flowdown of requirements onto the (variable distance) LGS wavefront sensor(s).  Confirm that off-axis LGS aberrations out to 90" field radius are acceptable.</t>
  </si>
  <si>
    <t>Consider the relative performance, cost, reliability &amp; maintainability of compensating field rotation using 1 or more K-mirrors vs using 1 or more instrument rotators</t>
  </si>
  <si>
    <t>Complete when baseline approach &amp; instrument requirements documented</t>
  </si>
  <si>
    <t>Complete when an NGAO baseline optical design is selected</t>
  </si>
  <si>
    <t>Consider the relative performance, cost, risk, and schedule of GLAO compensation using an ASM for non-NGAO instruments</t>
  </si>
  <si>
    <t>Consider the relative performance, cost, risk &amp; schedule of feeding KI with NGAO or a repackaged version of the current AO system. Decoupling of NGAO from interferometer support may simplify &amp; improve performance of NGAO. The feasibility of maintaining a version of the two current AO systems for KI use should be evaluated.</t>
  </si>
  <si>
    <t>Keck Interferometer support</t>
  </si>
  <si>
    <t>Complete when option assessment documented</t>
  </si>
  <si>
    <t>Complete when NGAO baseline architecture selected</t>
  </si>
  <si>
    <t>Complete when expected performance benefit for each instrument documented</t>
  </si>
  <si>
    <t>Consider relative performance, cost, risk &amp; schedule of an NGAO implementation based on an ASM.  Quantify the benefit of an ASM to both NGAO and non-NGAO instruments</t>
  </si>
  <si>
    <t>DM stroke requirement</t>
  </si>
  <si>
    <t>Complete when DM stroke, stroke offloading &amp; related system requirements documented</t>
  </si>
  <si>
    <t>Determine required DM stroke based on performance, cost, risk, reliability &amp; maintainability.  Consider both global &amp; inter-actuator stroke &amp; quantify the performance penalty for different levels of actuator saturation.  Determine DM stroke offloading requirements to other NGAO system elements</t>
  </si>
  <si>
    <t>Consider the performance, cost, risk, reliability, and maintainability of a stand-alone tip/tilt mirror vs. mounting an otherwise necessary mirror (e.g. a DM) on a fast tip/tilt stage. Note that high BW correction is difficult with a large or heavy mirror.</t>
  </si>
  <si>
    <t>Consider the performance, cost, risk, reliability, and maintainability of performing the highest bandwidth tip/tilt correction using DM actuators. Note that allocation of some time/tilt control to the DM complicates the control system, may increase the stroke requirement &amp; thus the DM cost.</t>
  </si>
  <si>
    <t>Evaluate the maturity of advanced techniques for determining tip/tilt from the LGS beacons. Note that a number of techniques, including the use of polychromatic LGS, have been suggested.</t>
  </si>
  <si>
    <t>Complete when tip/tilt approach selected</t>
  </si>
  <si>
    <t xml:space="preserve">Complete when control system &amp; DM stroke requirements determined </t>
  </si>
  <si>
    <t>Complete when a literature review &amp; technical discussion documented</t>
  </si>
  <si>
    <t>DM metrology</t>
  </si>
  <si>
    <t>Consider the need &amp; requirements for a DM-viewing interferometer. Note that DM in-situe calibration &amp; testing may benefit.  MOAO implementations also typically require good knowledge of DM actuator position</t>
  </si>
  <si>
    <t>Complete when DM metrology requirements documented</t>
  </si>
  <si>
    <t>Evaluate the impact of unwanted Rayleigh backscatter to NGAO system performance.  Consider the relative performance, cost, risk &amp; schedule of various strategies for mitigation of LGS Rayleigh backscatter. Techniques include background subtraction, modulation &amp; optimizing projection location.  This issue is closely coupled to laser pulse format, with pulsed lasers generally providing more options for Rayleigh mitigation than CW lasers.</t>
  </si>
  <si>
    <t>Laser beam transport</t>
  </si>
  <si>
    <t>Consider the performance, cost, risk, upgradability, reliability &amp; maintainability of free-space guide star laser transport vs hollow core fiber transport</t>
  </si>
  <si>
    <t>Complete when a beam transport system has been selected</t>
  </si>
  <si>
    <t>Telescope wavefront errors</t>
  </si>
  <si>
    <t>Solaris computer</t>
  </si>
  <si>
    <t>RAID disk</t>
  </si>
  <si>
    <t>Total (ftes) =</t>
  </si>
  <si>
    <t>Implement (FTE)</t>
  </si>
  <si>
    <t>Design (FTE)</t>
  </si>
  <si>
    <t>Procure ($k)</t>
  </si>
  <si>
    <t>FTE ($k)</t>
  </si>
  <si>
    <t>Total ($k)</t>
  </si>
  <si>
    <t>AO System</t>
  </si>
  <si>
    <t>Laser System</t>
  </si>
  <si>
    <t>Operations tools</t>
  </si>
  <si>
    <t>Management</t>
  </si>
  <si>
    <t>Design &amp; Sys Eng</t>
  </si>
  <si>
    <t>WBS</t>
  </si>
  <si>
    <t>Telescope I&amp;T</t>
  </si>
  <si>
    <t>Ops Transition</t>
  </si>
  <si>
    <t>Contingency (25%)</t>
  </si>
  <si>
    <t>Consider the feasiblity of upgrading one of the existing Keck AO systems incrementally to meet NGAO science requirements.  Consider optomechanical constraints &amp; upgradability of embedded &amp; supervisory control systems.  Consider impact on science operations during NGAO commissioning</t>
  </si>
  <si>
    <t>Complete when documented and mitigation strategy adopted</t>
  </si>
  <si>
    <t>Consider alternative WFS designs (e.g. Shack-Hartmann vs. pyramid) for different laser pulse formats.  Evaluate and compare the advantages of e.g. short pulse tracking using radial geometry CCDs and mechanical pulse trackers.</t>
  </si>
  <si>
    <t>Complete when LGS WFS requirements have been documented</t>
  </si>
  <si>
    <t xml:space="preserve">Consider the performance, cost, risk, reliability, and maintainability of different sodium laser pulse formats, including usability under various weather scenarios, infrastructure and beam transport issues, and commercial readiness. </t>
  </si>
  <si>
    <t>Ops Spares (5%)</t>
  </si>
  <si>
    <t>Hours</t>
  </si>
  <si>
    <t>Adaptive Secondary Mirror option</t>
  </si>
  <si>
    <t>1.3.2.1</t>
  </si>
  <si>
    <t>1.3.4.2</t>
  </si>
  <si>
    <t>1.3.2.2</t>
  </si>
  <si>
    <t xml:space="preserve">1.3.2.2 </t>
  </si>
  <si>
    <t>1.3.4.13</t>
  </si>
  <si>
    <t>In plan</t>
  </si>
  <si>
    <t>no</t>
  </si>
  <si>
    <t>1.3.4.5 &amp; 6</t>
  </si>
  <si>
    <t>1.3.4.5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</si>
</sst>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9">
    <font>
      <sz val="10"/>
      <name val="Arial"/>
      <family val="0"/>
    </font>
    <font>
      <b/>
      <sz val="10"/>
      <name val="Arial"/>
      <family val="2"/>
    </font>
    <font>
      <u val="single"/>
      <sz val="10"/>
      <color indexed="12"/>
      <name val="Arial"/>
      <family val="0"/>
    </font>
    <font>
      <u val="single"/>
      <sz val="10"/>
      <color indexed="36"/>
      <name val="Arial"/>
      <family val="0"/>
    </font>
    <font>
      <sz val="10"/>
      <name val="Symbol"/>
      <family val="1"/>
    </font>
    <font>
      <i/>
      <sz val="10"/>
      <name val="Arial"/>
      <family val="2"/>
    </font>
    <font>
      <vertAlign val="subscript"/>
      <sz val="10"/>
      <name val="Arial"/>
      <family val="2"/>
    </font>
    <font>
      <vertAlign val="superscript"/>
      <sz val="10"/>
      <name val="Arial"/>
      <family val="2"/>
    </font>
    <font>
      <b/>
      <sz val="16"/>
      <name val="Arial"/>
      <family val="2"/>
    </font>
  </fonts>
  <fills count="3">
    <fill>
      <patternFill/>
    </fill>
    <fill>
      <patternFill patternType="gray125"/>
    </fill>
    <fill>
      <patternFill patternType="solid">
        <fgColor indexed="57"/>
        <bgColor indexed="64"/>
      </patternFill>
    </fill>
  </fills>
  <borders count="20">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wrapText="1"/>
    </xf>
    <xf numFmtId="0" fontId="1"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center"/>
    </xf>
    <xf numFmtId="0" fontId="4" fillId="0" borderId="0" xfId="0" applyFont="1" applyAlignment="1">
      <alignment wrapText="1"/>
    </xf>
    <xf numFmtId="0" fontId="5" fillId="0" borderId="0" xfId="0" applyFont="1" applyAlignment="1">
      <alignment wrapText="1"/>
    </xf>
    <xf numFmtId="0" fontId="0" fillId="0" borderId="0" xfId="0" applyFont="1" applyAlignment="1">
      <alignment wrapText="1"/>
    </xf>
    <xf numFmtId="0" fontId="0" fillId="0" borderId="0" xfId="0" applyFont="1" applyAlignment="1">
      <alignment horizontal="center" wrapText="1"/>
    </xf>
    <xf numFmtId="0" fontId="0" fillId="0" borderId="0" xfId="0" applyFont="1" applyAlignment="1">
      <alignment/>
    </xf>
    <xf numFmtId="0" fontId="0" fillId="0" borderId="0" xfId="0" applyAlignment="1">
      <alignment horizontal="right"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center"/>
    </xf>
    <xf numFmtId="0" fontId="1" fillId="0" borderId="0" xfId="0" applyFont="1" applyAlignment="1">
      <alignment/>
    </xf>
    <xf numFmtId="0" fontId="0" fillId="2" borderId="0" xfId="0" applyFill="1" applyAlignment="1">
      <alignment wrapText="1"/>
    </xf>
    <xf numFmtId="0" fontId="0" fillId="0" borderId="0" xfId="0" applyFont="1" applyAlignment="1">
      <alignment horizontal="center"/>
    </xf>
    <xf numFmtId="1" fontId="0" fillId="0" borderId="0" xfId="0" applyNumberFormat="1" applyAlignment="1">
      <alignment horizontal="center"/>
    </xf>
    <xf numFmtId="1" fontId="1" fillId="0" borderId="0" xfId="0" applyNumberFormat="1" applyFont="1" applyAlignment="1">
      <alignment horizontal="center" wrapText="1"/>
    </xf>
    <xf numFmtId="1" fontId="0" fillId="0" borderId="0" xfId="0" applyNumberFormat="1" applyFont="1" applyAlignment="1">
      <alignment horizontal="center"/>
    </xf>
    <xf numFmtId="168" fontId="0" fillId="0" borderId="0" xfId="0" applyNumberFormat="1" applyAlignment="1">
      <alignment horizontal="center"/>
    </xf>
    <xf numFmtId="0" fontId="1" fillId="0" borderId="0" xfId="0" applyFont="1" applyAlignment="1">
      <alignment wrapText="1"/>
    </xf>
    <xf numFmtId="168" fontId="0" fillId="0" borderId="0" xfId="0" applyNumberFormat="1" applyAlignment="1">
      <alignment horizontal="center" wrapText="1"/>
    </xf>
    <xf numFmtId="1" fontId="0" fillId="0" borderId="0" xfId="0" applyNumberFormat="1" applyAlignment="1">
      <alignment horizontal="center" wrapText="1"/>
    </xf>
    <xf numFmtId="0" fontId="0" fillId="0" borderId="0" xfId="0" applyAlignment="1">
      <alignment horizontal="right"/>
    </xf>
    <xf numFmtId="0" fontId="0" fillId="0" borderId="0" xfId="0" applyFont="1" applyAlignment="1" quotePrefix="1">
      <alignment wrapText="1"/>
    </xf>
    <xf numFmtId="0" fontId="1" fillId="0" borderId="0" xfId="0" applyFont="1" applyBorder="1" applyAlignment="1">
      <alignment horizontal="center"/>
    </xf>
    <xf numFmtId="0" fontId="1" fillId="0" borderId="0" xfId="0" applyFont="1" applyBorder="1" applyAlignment="1">
      <alignment horizontal="center" wrapText="1"/>
    </xf>
    <xf numFmtId="0" fontId="0" fillId="0" borderId="0" xfId="0" applyFont="1" applyBorder="1" applyAlignment="1">
      <alignment wrapText="1"/>
    </xf>
    <xf numFmtId="0" fontId="0" fillId="0" borderId="0" xfId="0" applyBorder="1" applyAlignment="1">
      <alignment horizontal="center"/>
    </xf>
    <xf numFmtId="0" fontId="0" fillId="0" borderId="0" xfId="0" applyBorder="1" applyAlignment="1">
      <alignment wrapText="1"/>
    </xf>
    <xf numFmtId="0" fontId="0" fillId="0" borderId="0" xfId="0" applyBorder="1" applyAlignment="1">
      <alignment horizontal="center" wrapText="1"/>
    </xf>
    <xf numFmtId="0" fontId="0" fillId="0" borderId="0" xfId="0" applyFont="1" applyBorder="1" applyAlignment="1">
      <alignment horizontal="center" vertical="center"/>
    </xf>
    <xf numFmtId="0" fontId="0" fillId="0" borderId="0" xfId="0" applyFont="1" applyBorder="1" applyAlignment="1">
      <alignment vertical="center" wrapText="1"/>
    </xf>
    <xf numFmtId="0" fontId="1" fillId="0" borderId="0"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xf>
    <xf numFmtId="0" fontId="0" fillId="0" borderId="1" xfId="0" applyFont="1" applyBorder="1" applyAlignment="1">
      <alignment vertical="center" wrapText="1"/>
    </xf>
    <xf numFmtId="0" fontId="1" fillId="0" borderId="2" xfId="0" applyFont="1" applyBorder="1" applyAlignment="1">
      <alignment horizontal="center" vertical="center" wrapText="1"/>
    </xf>
    <xf numFmtId="0" fontId="0" fillId="0" borderId="2" xfId="0" applyFont="1" applyBorder="1" applyAlignment="1">
      <alignment vertical="center" wrapText="1"/>
    </xf>
    <xf numFmtId="0" fontId="0" fillId="0" borderId="2" xfId="0" applyFont="1" applyBorder="1" applyAlignment="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6" xfId="0" applyFont="1" applyBorder="1" applyAlignment="1">
      <alignment vertical="center" wrapText="1"/>
    </xf>
    <xf numFmtId="0" fontId="0" fillId="0" borderId="6" xfId="0" applyFont="1" applyBorder="1" applyAlignment="1">
      <alignment horizontal="center" vertical="center"/>
    </xf>
    <xf numFmtId="0" fontId="1"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lignment horizontal="center" vertical="center"/>
    </xf>
    <xf numFmtId="0" fontId="0" fillId="0" borderId="6" xfId="0" applyFont="1" applyBorder="1" applyAlignment="1">
      <alignment horizontal="lef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1" fillId="0" borderId="8" xfId="0" applyFont="1" applyBorder="1" applyAlignment="1">
      <alignment horizontal="center" vertical="center" wrapText="1"/>
    </xf>
    <xf numFmtId="0" fontId="0" fillId="0" borderId="0" xfId="0" applyAlignment="1">
      <alignment/>
    </xf>
    <xf numFmtId="0" fontId="0" fillId="0" borderId="0" xfId="0" applyAlignment="1">
      <alignment wrapText="1"/>
    </xf>
    <xf numFmtId="0" fontId="0" fillId="0" borderId="0" xfId="0" applyFont="1" applyAlignment="1">
      <alignment horizontal="left" wrapText="1"/>
    </xf>
    <xf numFmtId="0" fontId="0" fillId="0" borderId="0" xfId="0" applyFont="1" applyAlignment="1">
      <alignment wrapText="1"/>
    </xf>
    <xf numFmtId="0" fontId="0" fillId="0" borderId="0" xfId="0" applyAlignment="1">
      <alignment horizontal="left"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37"/>
  <sheetViews>
    <sheetView workbookViewId="0" topLeftCell="A1">
      <selection activeCell="B13" sqref="B13"/>
    </sheetView>
  </sheetViews>
  <sheetFormatPr defaultColWidth="9.140625" defaultRowHeight="12.75"/>
  <cols>
    <col min="1" max="1" width="29.00390625" style="0" customWidth="1"/>
    <col min="2" max="2" width="29.00390625" style="1" customWidth="1"/>
    <col min="3" max="3" width="22.8515625" style="0" customWidth="1"/>
  </cols>
  <sheetData>
    <row r="1" spans="1:3" s="4" customFormat="1" ht="12.75">
      <c r="A1" s="4" t="s">
        <v>268</v>
      </c>
      <c r="B1" s="2" t="s">
        <v>291</v>
      </c>
      <c r="C1" s="4" t="s">
        <v>297</v>
      </c>
    </row>
    <row r="2" spans="1:3" ht="12.75">
      <c r="A2" s="62" t="s">
        <v>292</v>
      </c>
      <c r="B2" s="1" t="s">
        <v>295</v>
      </c>
      <c r="C2" t="s">
        <v>269</v>
      </c>
    </row>
    <row r="3" spans="1:3" ht="12.75">
      <c r="A3" s="62"/>
      <c r="B3" s="1" t="s">
        <v>296</v>
      </c>
      <c r="C3" t="s">
        <v>270</v>
      </c>
    </row>
    <row r="4" spans="1:3" ht="12.75">
      <c r="A4" s="62"/>
      <c r="C4" t="s">
        <v>271</v>
      </c>
    </row>
    <row r="5" spans="1:3" ht="12.75">
      <c r="A5" s="62"/>
      <c r="C5" t="s">
        <v>272</v>
      </c>
    </row>
    <row r="6" spans="1:3" ht="12.75">
      <c r="A6" s="62" t="s">
        <v>293</v>
      </c>
      <c r="B6" s="1" t="s">
        <v>294</v>
      </c>
      <c r="C6" t="s">
        <v>269</v>
      </c>
    </row>
    <row r="7" spans="1:3" ht="12.75">
      <c r="A7" s="62"/>
      <c r="C7" t="s">
        <v>270</v>
      </c>
    </row>
    <row r="8" spans="1:3" ht="12.75">
      <c r="A8" s="62"/>
      <c r="C8" t="s">
        <v>271</v>
      </c>
    </row>
    <row r="9" spans="1:3" ht="12.75">
      <c r="A9" s="62"/>
      <c r="C9" t="s">
        <v>272</v>
      </c>
    </row>
    <row r="10" spans="1:3" ht="12.75">
      <c r="A10" s="62"/>
      <c r="C10" t="s">
        <v>273</v>
      </c>
    </row>
    <row r="11" spans="1:3" ht="12.75">
      <c r="A11" s="61" t="s">
        <v>274</v>
      </c>
      <c r="B11" s="1" t="s">
        <v>288</v>
      </c>
      <c r="C11" t="s">
        <v>275</v>
      </c>
    </row>
    <row r="12" spans="1:3" ht="12.75">
      <c r="A12" s="61"/>
      <c r="B12" s="1" t="s">
        <v>289</v>
      </c>
      <c r="C12" t="s">
        <v>276</v>
      </c>
    </row>
    <row r="13" spans="1:2" ht="12.75">
      <c r="A13" s="61"/>
      <c r="B13" s="1" t="s">
        <v>290</v>
      </c>
    </row>
    <row r="14" spans="1:2" ht="25.5">
      <c r="A14" s="61" t="s">
        <v>277</v>
      </c>
      <c r="B14" s="1" t="s">
        <v>315</v>
      </c>
    </row>
    <row r="15" spans="1:2" ht="25.5">
      <c r="A15" s="61"/>
      <c r="B15" s="1" t="s">
        <v>314</v>
      </c>
    </row>
    <row r="16" spans="1:2" ht="25.5">
      <c r="A16" s="61"/>
      <c r="B16" s="1" t="s">
        <v>316</v>
      </c>
    </row>
    <row r="17" spans="1:2" ht="25.5">
      <c r="A17" s="61"/>
      <c r="B17" s="1" t="s">
        <v>317</v>
      </c>
    </row>
    <row r="18" spans="1:2" ht="12.75">
      <c r="A18" s="61" t="s">
        <v>278</v>
      </c>
      <c r="B18" s="1" t="s">
        <v>318</v>
      </c>
    </row>
    <row r="19" spans="1:2" ht="25.5">
      <c r="A19" s="61"/>
      <c r="B19" s="1" t="s">
        <v>319</v>
      </c>
    </row>
    <row r="20" spans="1:2" ht="25.5">
      <c r="A20" s="61"/>
      <c r="B20" s="1" t="s">
        <v>320</v>
      </c>
    </row>
    <row r="21" spans="1:2" ht="12.75">
      <c r="A21" t="s">
        <v>279</v>
      </c>
      <c r="B21" s="1" t="s">
        <v>286</v>
      </c>
    </row>
    <row r="22" spans="1:2" ht="25.5">
      <c r="A22" s="61" t="s">
        <v>287</v>
      </c>
      <c r="B22" s="1" t="s">
        <v>312</v>
      </c>
    </row>
    <row r="23" spans="1:2" ht="38.25">
      <c r="A23" s="61"/>
      <c r="B23" s="1" t="s">
        <v>313</v>
      </c>
    </row>
    <row r="24" spans="1:3" ht="12.75">
      <c r="A24" s="61" t="s">
        <v>280</v>
      </c>
      <c r="B24" s="1" t="s">
        <v>306</v>
      </c>
      <c r="C24" t="s">
        <v>281</v>
      </c>
    </row>
    <row r="25" spans="1:2" ht="25.5">
      <c r="A25" s="61"/>
      <c r="B25" s="1" t="s">
        <v>307</v>
      </c>
    </row>
    <row r="26" spans="1:2" ht="38.25">
      <c r="A26" s="61"/>
      <c r="B26" s="1" t="s">
        <v>308</v>
      </c>
    </row>
    <row r="27" spans="1:2" ht="25.5">
      <c r="A27" s="61"/>
      <c r="B27" s="1" t="s">
        <v>309</v>
      </c>
    </row>
    <row r="28" spans="1:2" ht="38.25">
      <c r="A28" s="61"/>
      <c r="B28" s="1" t="s">
        <v>310</v>
      </c>
    </row>
    <row r="29" spans="1:2" ht="38.25">
      <c r="A29" s="61"/>
      <c r="B29" s="1" t="s">
        <v>311</v>
      </c>
    </row>
    <row r="30" spans="1:3" ht="12.75">
      <c r="A30" t="s">
        <v>282</v>
      </c>
      <c r="B30" s="1" t="s">
        <v>298</v>
      </c>
      <c r="C30" t="s">
        <v>281</v>
      </c>
    </row>
    <row r="31" spans="1:2" ht="12.75">
      <c r="A31" s="61" t="s">
        <v>283</v>
      </c>
      <c r="B31" s="1" t="s">
        <v>304</v>
      </c>
    </row>
    <row r="32" spans="1:2" ht="12.75">
      <c r="A32" s="61"/>
      <c r="B32" s="1" t="s">
        <v>305</v>
      </c>
    </row>
    <row r="33" spans="1:2" ht="12.75">
      <c r="A33" s="61" t="s">
        <v>284</v>
      </c>
      <c r="B33" s="1" t="s">
        <v>301</v>
      </c>
    </row>
    <row r="34" spans="1:2" ht="12.75">
      <c r="A34" s="61"/>
      <c r="B34" s="1" t="s">
        <v>300</v>
      </c>
    </row>
    <row r="35" spans="1:2" ht="12.75">
      <c r="A35" s="61"/>
      <c r="B35" s="1" t="s">
        <v>299</v>
      </c>
    </row>
    <row r="36" spans="1:2" ht="12.75">
      <c r="A36" s="61" t="s">
        <v>285</v>
      </c>
      <c r="B36" s="1" t="s">
        <v>303</v>
      </c>
    </row>
    <row r="37" spans="1:2" ht="12.75">
      <c r="A37" s="61"/>
      <c r="B37" s="1" t="s">
        <v>302</v>
      </c>
    </row>
  </sheetData>
  <mergeCells count="10">
    <mergeCell ref="A31:A32"/>
    <mergeCell ref="A33:A35"/>
    <mergeCell ref="A36:A37"/>
    <mergeCell ref="A2:A5"/>
    <mergeCell ref="A6:A10"/>
    <mergeCell ref="A11:A13"/>
    <mergeCell ref="A24:A29"/>
    <mergeCell ref="A14:A17"/>
    <mergeCell ref="A22:A23"/>
    <mergeCell ref="A18:A20"/>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47"/>
  <sheetViews>
    <sheetView workbookViewId="0" topLeftCell="A1">
      <selection activeCell="E26" sqref="E26"/>
    </sheetView>
  </sheetViews>
  <sheetFormatPr defaultColWidth="9.140625" defaultRowHeight="12.75"/>
  <cols>
    <col min="1" max="1" width="5.421875" style="1" customWidth="1"/>
    <col min="2" max="2" width="0" style="1" hidden="1" customWidth="1"/>
    <col min="3" max="3" width="51.7109375" style="1" customWidth="1"/>
    <col min="4" max="4" width="9.57421875" style="1" customWidth="1"/>
    <col min="5" max="5" width="11.57421875" style="1" customWidth="1"/>
    <col min="6" max="6" width="42.28125" style="1" customWidth="1"/>
  </cols>
  <sheetData>
    <row r="1" spans="1:6" ht="25.5">
      <c r="A1" s="2" t="s">
        <v>443</v>
      </c>
      <c r="B1" s="2" t="s">
        <v>444</v>
      </c>
      <c r="C1" s="2" t="s">
        <v>445</v>
      </c>
      <c r="D1" s="2" t="s">
        <v>446</v>
      </c>
      <c r="E1" s="2" t="s">
        <v>447</v>
      </c>
      <c r="F1" s="2" t="s">
        <v>448</v>
      </c>
    </row>
    <row r="2" spans="1:3" ht="12.75">
      <c r="A2" s="3">
        <v>1</v>
      </c>
      <c r="B2" s="3"/>
      <c r="C2" s="1" t="s">
        <v>449</v>
      </c>
    </row>
    <row r="3" spans="1:6" ht="12.75">
      <c r="A3" s="10" t="s">
        <v>450</v>
      </c>
      <c r="B3" s="3"/>
      <c r="C3" s="12" t="s">
        <v>451</v>
      </c>
      <c r="D3" s="1" t="s">
        <v>452</v>
      </c>
      <c r="E3" s="1" t="s">
        <v>453</v>
      </c>
      <c r="F3" s="1" t="s">
        <v>454</v>
      </c>
    </row>
    <row r="4" spans="1:3" ht="12.75">
      <c r="A4" s="10" t="s">
        <v>455</v>
      </c>
      <c r="B4" s="3"/>
      <c r="C4" s="12" t="s">
        <v>456</v>
      </c>
    </row>
    <row r="5" spans="1:6" ht="12.75">
      <c r="A5" s="3">
        <v>2</v>
      </c>
      <c r="B5" s="3"/>
      <c r="C5" s="1" t="s">
        <v>457</v>
      </c>
      <c r="D5" s="1" t="s">
        <v>458</v>
      </c>
      <c r="E5" s="1" t="s">
        <v>453</v>
      </c>
      <c r="F5" s="1" t="s">
        <v>459</v>
      </c>
    </row>
    <row r="6" spans="1:5" ht="25.5">
      <c r="A6" s="3">
        <v>3</v>
      </c>
      <c r="B6" s="3"/>
      <c r="C6" s="1" t="s">
        <v>460</v>
      </c>
      <c r="D6" s="1" t="s">
        <v>452</v>
      </c>
      <c r="E6" s="1" t="s">
        <v>461</v>
      </c>
    </row>
    <row r="7" spans="1:6" ht="12.75">
      <c r="A7" s="3">
        <v>4</v>
      </c>
      <c r="B7" s="3"/>
      <c r="C7" s="1" t="s">
        <v>462</v>
      </c>
      <c r="D7" s="1" t="s">
        <v>463</v>
      </c>
      <c r="E7" s="1" t="s">
        <v>453</v>
      </c>
      <c r="F7" s="1" t="s">
        <v>464</v>
      </c>
    </row>
    <row r="8" spans="1:6" ht="38.25">
      <c r="A8" s="3"/>
      <c r="B8" s="3"/>
      <c r="C8" s="12" t="s">
        <v>465</v>
      </c>
      <c r="D8" s="1" t="s">
        <v>458</v>
      </c>
      <c r="E8" s="1" t="s">
        <v>461</v>
      </c>
      <c r="F8" s="1" t="s">
        <v>466</v>
      </c>
    </row>
    <row r="9" spans="1:3" ht="12.75">
      <c r="A9" s="3">
        <v>5</v>
      </c>
      <c r="B9" s="3"/>
      <c r="C9" s="1" t="s">
        <v>467</v>
      </c>
    </row>
    <row r="10" spans="1:6" ht="51">
      <c r="A10" s="10" t="s">
        <v>450</v>
      </c>
      <c r="B10" s="10"/>
      <c r="C10" s="12" t="s">
        <v>468</v>
      </c>
      <c r="D10" s="1" t="s">
        <v>452</v>
      </c>
      <c r="E10" s="1" t="s">
        <v>469</v>
      </c>
      <c r="F10" s="1" t="s">
        <v>470</v>
      </c>
    </row>
    <row r="11" spans="1:6" ht="25.5">
      <c r="A11" s="10" t="s">
        <v>455</v>
      </c>
      <c r="B11" s="10"/>
      <c r="C11" s="12" t="s">
        <v>471</v>
      </c>
      <c r="D11" s="1" t="s">
        <v>458</v>
      </c>
      <c r="E11" s="1" t="s">
        <v>461</v>
      </c>
      <c r="F11" s="1" t="s">
        <v>472</v>
      </c>
    </row>
    <row r="12" spans="1:6" ht="25.5">
      <c r="A12" s="10" t="s">
        <v>473</v>
      </c>
      <c r="B12" s="10"/>
      <c r="C12" s="12" t="s">
        <v>474</v>
      </c>
      <c r="D12" s="1" t="s">
        <v>458</v>
      </c>
      <c r="E12" s="1" t="s">
        <v>461</v>
      </c>
      <c r="F12" s="1" t="s">
        <v>475</v>
      </c>
    </row>
    <row r="13" spans="1:6" ht="12.75">
      <c r="A13" s="10" t="s">
        <v>476</v>
      </c>
      <c r="B13" s="10"/>
      <c r="C13" s="12" t="s">
        <v>477</v>
      </c>
      <c r="D13" s="1" t="s">
        <v>452</v>
      </c>
      <c r="E13" s="1" t="s">
        <v>461</v>
      </c>
      <c r="F13" s="1" t="s">
        <v>478</v>
      </c>
    </row>
    <row r="14" spans="1:3" ht="12.75">
      <c r="A14" s="10" t="s">
        <v>479</v>
      </c>
      <c r="B14" s="10"/>
      <c r="C14" s="12" t="s">
        <v>480</v>
      </c>
    </row>
    <row r="15" spans="1:6" ht="25.5">
      <c r="A15" s="10" t="s">
        <v>481</v>
      </c>
      <c r="B15" s="10"/>
      <c r="C15" s="12" t="s">
        <v>482</v>
      </c>
      <c r="D15" s="1" t="s">
        <v>458</v>
      </c>
      <c r="E15" s="1" t="s">
        <v>461</v>
      </c>
      <c r="F15" s="1" t="s">
        <v>483</v>
      </c>
    </row>
    <row r="16" spans="1:6" ht="51">
      <c r="A16" s="10" t="s">
        <v>484</v>
      </c>
      <c r="B16" s="10"/>
      <c r="C16" s="12" t="s">
        <v>485</v>
      </c>
      <c r="D16" s="1" t="s">
        <v>458</v>
      </c>
      <c r="E16" s="1" t="s">
        <v>453</v>
      </c>
      <c r="F16" s="1" t="s">
        <v>486</v>
      </c>
    </row>
    <row r="17" spans="1:5" ht="25.5">
      <c r="A17" s="10" t="s">
        <v>487</v>
      </c>
      <c r="B17" s="10"/>
      <c r="C17" s="12" t="s">
        <v>488</v>
      </c>
      <c r="D17" s="1" t="s">
        <v>452</v>
      </c>
      <c r="E17" s="1" t="s">
        <v>469</v>
      </c>
    </row>
    <row r="18" spans="1:6" ht="25.5">
      <c r="A18" s="10"/>
      <c r="B18" s="10"/>
      <c r="C18" s="12" t="s">
        <v>489</v>
      </c>
      <c r="D18" s="1" t="s">
        <v>452</v>
      </c>
      <c r="E18" s="1" t="s">
        <v>453</v>
      </c>
      <c r="F18" s="1" t="s">
        <v>490</v>
      </c>
    </row>
    <row r="19" spans="1:6" ht="25.5">
      <c r="A19" s="10"/>
      <c r="B19" s="10"/>
      <c r="C19" s="12" t="s">
        <v>491</v>
      </c>
      <c r="D19" s="1" t="s">
        <v>452</v>
      </c>
      <c r="E19" s="1" t="s">
        <v>461</v>
      </c>
      <c r="F19" s="1" t="s">
        <v>492</v>
      </c>
    </row>
    <row r="20" spans="1:6" ht="12.75">
      <c r="A20" s="3">
        <v>6</v>
      </c>
      <c r="B20" s="3"/>
      <c r="C20" s="1" t="s">
        <v>493</v>
      </c>
      <c r="D20" s="1" t="s">
        <v>463</v>
      </c>
      <c r="E20" s="1" t="s">
        <v>461</v>
      </c>
      <c r="F20" s="1" t="s">
        <v>494</v>
      </c>
    </row>
    <row r="21" spans="1:6" ht="12.75">
      <c r="A21" s="3">
        <v>7</v>
      </c>
      <c r="B21" s="3"/>
      <c r="C21" s="1" t="s">
        <v>495</v>
      </c>
      <c r="D21" s="1" t="s">
        <v>463</v>
      </c>
      <c r="E21" s="1" t="s">
        <v>461</v>
      </c>
      <c r="F21" s="1" t="s">
        <v>494</v>
      </c>
    </row>
    <row r="22" spans="1:6" ht="12.75">
      <c r="A22" s="3">
        <v>8</v>
      </c>
      <c r="B22" s="3"/>
      <c r="C22" s="1" t="s">
        <v>496</v>
      </c>
      <c r="D22" s="1" t="s">
        <v>463</v>
      </c>
      <c r="E22" s="1" t="s">
        <v>461</v>
      </c>
      <c r="F22" s="1" t="s">
        <v>494</v>
      </c>
    </row>
    <row r="23" spans="1:6" ht="25.5">
      <c r="A23" s="3">
        <v>9</v>
      </c>
      <c r="B23" s="3"/>
      <c r="C23" s="1" t="s">
        <v>497</v>
      </c>
      <c r="D23" s="1" t="s">
        <v>463</v>
      </c>
      <c r="E23" s="1" t="s">
        <v>461</v>
      </c>
      <c r="F23" s="1" t="s">
        <v>498</v>
      </c>
    </row>
    <row r="24" spans="1:6" ht="25.5">
      <c r="A24" s="3">
        <v>10</v>
      </c>
      <c r="B24" s="3"/>
      <c r="C24" s="1" t="s">
        <v>499</v>
      </c>
      <c r="D24" s="1" t="s">
        <v>463</v>
      </c>
      <c r="E24" s="1" t="s">
        <v>461</v>
      </c>
      <c r="F24" s="1" t="s">
        <v>500</v>
      </c>
    </row>
    <row r="25" spans="1:6" ht="25.5">
      <c r="A25" s="3">
        <v>11</v>
      </c>
      <c r="B25" s="3"/>
      <c r="C25" s="1" t="s">
        <v>501</v>
      </c>
      <c r="D25" s="1" t="s">
        <v>502</v>
      </c>
      <c r="E25" s="1" t="s">
        <v>453</v>
      </c>
      <c r="F25" s="1" t="s">
        <v>503</v>
      </c>
    </row>
    <row r="26" spans="1:6" ht="12.75">
      <c r="A26" s="3">
        <v>12</v>
      </c>
      <c r="B26" s="3"/>
      <c r="C26" s="1" t="s">
        <v>504</v>
      </c>
      <c r="D26" s="1" t="s">
        <v>452</v>
      </c>
      <c r="E26" s="1" t="s">
        <v>453</v>
      </c>
      <c r="F26" s="1" t="s">
        <v>505</v>
      </c>
    </row>
    <row r="27" spans="1:6" ht="25.5">
      <c r="A27" s="3">
        <v>13</v>
      </c>
      <c r="B27" s="3"/>
      <c r="C27" s="1" t="s">
        <v>506</v>
      </c>
      <c r="D27" s="1" t="s">
        <v>458</v>
      </c>
      <c r="E27" s="1" t="s">
        <v>461</v>
      </c>
      <c r="F27" s="1" t="s">
        <v>507</v>
      </c>
    </row>
    <row r="28" spans="1:5" ht="12.75">
      <c r="A28" s="3">
        <v>14</v>
      </c>
      <c r="B28" s="3"/>
      <c r="C28" s="1" t="s">
        <v>508</v>
      </c>
      <c r="D28" s="1" t="s">
        <v>458</v>
      </c>
      <c r="E28" s="1" t="s">
        <v>453</v>
      </c>
    </row>
    <row r="29" spans="1:6" ht="12.75">
      <c r="A29" s="3"/>
      <c r="B29" s="3"/>
      <c r="C29" s="12" t="s">
        <v>509</v>
      </c>
      <c r="D29" s="1" t="s">
        <v>458</v>
      </c>
      <c r="E29" s="1" t="s">
        <v>469</v>
      </c>
      <c r="F29" s="1" t="s">
        <v>510</v>
      </c>
    </row>
    <row r="30" spans="1:6" ht="12.75">
      <c r="A30" s="3"/>
      <c r="B30" s="3"/>
      <c r="C30" s="12" t="s">
        <v>511</v>
      </c>
      <c r="D30" s="1" t="s">
        <v>458</v>
      </c>
      <c r="E30" s="1" t="s">
        <v>453</v>
      </c>
      <c r="F30" s="1" t="s">
        <v>512</v>
      </c>
    </row>
    <row r="31" spans="1:6" ht="12.75">
      <c r="A31" s="3"/>
      <c r="B31" s="3"/>
      <c r="C31" s="12" t="s">
        <v>513</v>
      </c>
      <c r="D31" s="1" t="s">
        <v>452</v>
      </c>
      <c r="E31" s="1" t="s">
        <v>461</v>
      </c>
      <c r="F31" s="1" t="s">
        <v>514</v>
      </c>
    </row>
    <row r="32" spans="1:3" ht="12.75">
      <c r="A32" s="3">
        <v>15</v>
      </c>
      <c r="B32" s="3"/>
      <c r="C32" s="1" t="s">
        <v>515</v>
      </c>
    </row>
    <row r="33" spans="1:6" ht="38.25">
      <c r="A33" s="10" t="s">
        <v>450</v>
      </c>
      <c r="B33" s="10"/>
      <c r="C33" s="12" t="s">
        <v>516</v>
      </c>
      <c r="D33" s="1" t="s">
        <v>458</v>
      </c>
      <c r="E33" s="1" t="s">
        <v>453</v>
      </c>
      <c r="F33" s="1" t="s">
        <v>517</v>
      </c>
    </row>
    <row r="34" spans="1:5" ht="12.75">
      <c r="A34" s="10" t="s">
        <v>455</v>
      </c>
      <c r="B34" s="10"/>
      <c r="C34" s="12" t="s">
        <v>518</v>
      </c>
      <c r="D34" s="1" t="s">
        <v>452</v>
      </c>
      <c r="E34" s="1" t="s">
        <v>469</v>
      </c>
    </row>
    <row r="35" spans="1:6" ht="25.5">
      <c r="A35" s="3">
        <v>16</v>
      </c>
      <c r="B35" s="3"/>
      <c r="C35" s="1" t="s">
        <v>519</v>
      </c>
      <c r="D35" s="1" t="s">
        <v>452</v>
      </c>
      <c r="E35" s="1" t="s">
        <v>461</v>
      </c>
      <c r="F35" s="1" t="s">
        <v>520</v>
      </c>
    </row>
    <row r="36" spans="1:6" ht="25.5">
      <c r="A36" s="3">
        <v>17</v>
      </c>
      <c r="B36" s="3"/>
      <c r="C36" s="1" t="s">
        <v>521</v>
      </c>
      <c r="D36" s="1" t="s">
        <v>458</v>
      </c>
      <c r="E36" s="1" t="s">
        <v>461</v>
      </c>
      <c r="F36" s="1" t="s">
        <v>522</v>
      </c>
    </row>
    <row r="37" spans="1:6" ht="12.75">
      <c r="A37" s="3">
        <v>18</v>
      </c>
      <c r="B37" s="3"/>
      <c r="C37" s="1" t="s">
        <v>523</v>
      </c>
      <c r="D37" s="1" t="s">
        <v>458</v>
      </c>
      <c r="E37" s="1" t="s">
        <v>469</v>
      </c>
      <c r="F37" s="1" t="s">
        <v>524</v>
      </c>
    </row>
    <row r="38" spans="1:6" ht="25.5">
      <c r="A38" s="3">
        <v>19</v>
      </c>
      <c r="B38" s="3"/>
      <c r="C38" s="1" t="s">
        <v>525</v>
      </c>
      <c r="D38" s="1" t="s">
        <v>452</v>
      </c>
      <c r="E38" s="1" t="s">
        <v>469</v>
      </c>
      <c r="F38" s="1" t="s">
        <v>526</v>
      </c>
    </row>
    <row r="39" spans="1:6" ht="25.5">
      <c r="A39" s="3">
        <v>20</v>
      </c>
      <c r="B39" s="3"/>
      <c r="C39" s="1" t="s">
        <v>527</v>
      </c>
      <c r="D39" s="1" t="s">
        <v>463</v>
      </c>
      <c r="E39" s="1" t="s">
        <v>461</v>
      </c>
      <c r="F39" s="1" t="s">
        <v>528</v>
      </c>
    </row>
    <row r="40" spans="1:6" ht="12.75">
      <c r="A40" s="3">
        <v>21</v>
      </c>
      <c r="B40" s="3"/>
      <c r="C40" s="1" t="s">
        <v>529</v>
      </c>
      <c r="D40" s="1" t="s">
        <v>458</v>
      </c>
      <c r="E40" s="1" t="s">
        <v>453</v>
      </c>
      <c r="F40" s="1" t="s">
        <v>530</v>
      </c>
    </row>
    <row r="41" spans="1:6" ht="51">
      <c r="A41" s="3">
        <v>22</v>
      </c>
      <c r="B41" s="3"/>
      <c r="C41" s="1" t="s">
        <v>531</v>
      </c>
      <c r="D41" s="1" t="s">
        <v>452</v>
      </c>
      <c r="E41" s="1" t="s">
        <v>453</v>
      </c>
      <c r="F41" s="1" t="s">
        <v>532</v>
      </c>
    </row>
    <row r="42" spans="1:3" ht="12.75">
      <c r="A42" s="3">
        <v>23</v>
      </c>
      <c r="B42" s="3"/>
      <c r="C42" s="1" t="s">
        <v>533</v>
      </c>
    </row>
    <row r="43" spans="1:6" ht="25.5">
      <c r="A43" s="3"/>
      <c r="B43" s="3"/>
      <c r="C43" s="12" t="s">
        <v>534</v>
      </c>
      <c r="D43" s="1" t="s">
        <v>452</v>
      </c>
      <c r="E43" s="1" t="s">
        <v>461</v>
      </c>
      <c r="F43" s="1" t="s">
        <v>535</v>
      </c>
    </row>
    <row r="44" spans="1:6" ht="12.75">
      <c r="A44" s="3"/>
      <c r="B44" s="3"/>
      <c r="C44" s="12" t="s">
        <v>536</v>
      </c>
      <c r="D44" s="1" t="s">
        <v>458</v>
      </c>
      <c r="E44" s="1" t="s">
        <v>469</v>
      </c>
      <c r="F44" s="1" t="s">
        <v>537</v>
      </c>
    </row>
    <row r="45" spans="1:3" ht="12.75">
      <c r="A45" s="3">
        <v>24</v>
      </c>
      <c r="B45" s="3"/>
      <c r="C45" s="1" t="s">
        <v>538</v>
      </c>
    </row>
    <row r="46" spans="1:6" ht="25.5">
      <c r="A46" s="10" t="s">
        <v>450</v>
      </c>
      <c r="C46" s="12" t="s">
        <v>539</v>
      </c>
      <c r="D46" s="1" t="s">
        <v>458</v>
      </c>
      <c r="E46" s="1" t="s">
        <v>461</v>
      </c>
      <c r="F46" s="1" t="s">
        <v>540</v>
      </c>
    </row>
    <row r="47" spans="1:6" ht="25.5">
      <c r="A47" s="10" t="s">
        <v>455</v>
      </c>
      <c r="C47" s="12" t="s">
        <v>541</v>
      </c>
      <c r="D47" s="1" t="s">
        <v>452</v>
      </c>
      <c r="E47" s="1" t="s">
        <v>461</v>
      </c>
      <c r="F47" s="1" t="s">
        <v>542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19"/>
  <sheetViews>
    <sheetView workbookViewId="0" topLeftCell="A1">
      <selection activeCell="B16" sqref="B16"/>
    </sheetView>
  </sheetViews>
  <sheetFormatPr defaultColWidth="9.140625" defaultRowHeight="12.75"/>
  <cols>
    <col min="1" max="1" width="15.140625" style="1" customWidth="1"/>
    <col min="2" max="2" width="33.8515625" style="1" customWidth="1"/>
    <col min="3" max="3" width="7.57421875" style="3" customWidth="1"/>
    <col min="4" max="4" width="28.00390625" style="1" customWidth="1"/>
    <col min="5" max="5" width="16.140625" style="1" customWidth="1"/>
    <col min="6" max="6" width="15.8515625" style="1" customWidth="1"/>
  </cols>
  <sheetData>
    <row r="1" spans="1:6" ht="25.5">
      <c r="A1" s="2" t="s">
        <v>105</v>
      </c>
      <c r="B1" s="2" t="s">
        <v>106</v>
      </c>
      <c r="C1" s="2" t="s">
        <v>126</v>
      </c>
      <c r="D1" s="2" t="s">
        <v>149</v>
      </c>
      <c r="E1" s="2" t="s">
        <v>115</v>
      </c>
      <c r="F1" s="2" t="s">
        <v>119</v>
      </c>
    </row>
    <row r="2" spans="1:6" ht="12.75">
      <c r="A2" s="63" t="s">
        <v>416</v>
      </c>
      <c r="B2" s="11" t="s">
        <v>419</v>
      </c>
      <c r="C2" s="11"/>
      <c r="D2" s="11"/>
      <c r="E2" s="11"/>
      <c r="F2" s="11"/>
    </row>
    <row r="3" spans="1:6" ht="12.75">
      <c r="A3" s="63"/>
      <c r="B3" s="11" t="s">
        <v>437</v>
      </c>
      <c r="C3" s="11"/>
      <c r="D3" s="11"/>
      <c r="E3" s="11"/>
      <c r="F3" s="11"/>
    </row>
    <row r="4" spans="1:6" ht="12.75">
      <c r="A4" s="63" t="s">
        <v>425</v>
      </c>
      <c r="B4" s="11" t="s">
        <v>426</v>
      </c>
      <c r="C4" s="11"/>
      <c r="D4" s="11"/>
      <c r="E4" s="11"/>
      <c r="F4" s="11"/>
    </row>
    <row r="5" spans="1:6" ht="12.75">
      <c r="A5" s="63"/>
      <c r="B5" s="11" t="s">
        <v>427</v>
      </c>
      <c r="C5" s="11"/>
      <c r="D5" s="11"/>
      <c r="E5" s="11"/>
      <c r="F5" s="11"/>
    </row>
    <row r="6" spans="1:6" ht="12.75">
      <c r="A6" s="63"/>
      <c r="B6" s="11" t="s">
        <v>428</v>
      </c>
      <c r="C6" s="11"/>
      <c r="D6" s="11"/>
      <c r="E6" s="11"/>
      <c r="F6" s="11"/>
    </row>
    <row r="7" spans="1:6" ht="15" customHeight="1">
      <c r="A7" s="63" t="s">
        <v>429</v>
      </c>
      <c r="B7" s="11" t="s">
        <v>434</v>
      </c>
      <c r="C7" s="11"/>
      <c r="D7" s="11"/>
      <c r="E7" s="11"/>
      <c r="F7" s="11"/>
    </row>
    <row r="8" spans="1:6" ht="12.75">
      <c r="A8" s="63"/>
      <c r="B8" s="11" t="s">
        <v>430</v>
      </c>
      <c r="C8" s="11"/>
      <c r="D8" s="11"/>
      <c r="E8" s="11"/>
      <c r="F8" s="11"/>
    </row>
    <row r="9" spans="1:6" ht="12.75">
      <c r="A9" s="63"/>
      <c r="B9" s="11" t="s">
        <v>433</v>
      </c>
      <c r="C9" s="11"/>
      <c r="D9" s="11"/>
      <c r="E9" s="11"/>
      <c r="F9" s="11"/>
    </row>
    <row r="10" spans="1:6" ht="12.75">
      <c r="A10" s="63"/>
      <c r="B10" s="11" t="s">
        <v>431</v>
      </c>
      <c r="C10" s="11"/>
      <c r="D10" s="11"/>
      <c r="E10" s="11"/>
      <c r="F10" s="11"/>
    </row>
    <row r="11" spans="1:6" ht="12.75">
      <c r="A11" s="63"/>
      <c r="B11" s="11" t="s">
        <v>436</v>
      </c>
      <c r="C11" s="11"/>
      <c r="D11" s="11"/>
      <c r="E11" s="11"/>
      <c r="F11" s="11"/>
    </row>
    <row r="12" spans="1:6" ht="12.75">
      <c r="A12" s="63"/>
      <c r="B12" s="11" t="s">
        <v>432</v>
      </c>
      <c r="C12" s="11"/>
      <c r="D12" s="11"/>
      <c r="E12" s="11"/>
      <c r="F12" s="11"/>
    </row>
    <row r="13" spans="1:6" ht="12.75">
      <c r="A13" s="63"/>
      <c r="B13" s="11" t="s">
        <v>435</v>
      </c>
      <c r="C13" s="11"/>
      <c r="D13" s="11"/>
      <c r="E13" s="11"/>
      <c r="F13" s="11"/>
    </row>
    <row r="14" spans="1:6" ht="51">
      <c r="A14" s="11" t="s">
        <v>420</v>
      </c>
      <c r="B14" s="11" t="s">
        <v>415</v>
      </c>
      <c r="C14" s="11"/>
      <c r="D14" s="11"/>
      <c r="E14" s="11"/>
      <c r="F14" s="11"/>
    </row>
    <row r="15" spans="1:6" ht="12.75">
      <c r="A15" s="11" t="s">
        <v>418</v>
      </c>
      <c r="B15" s="11" t="s">
        <v>414</v>
      </c>
      <c r="C15" s="11"/>
      <c r="D15" s="11"/>
      <c r="E15" s="11"/>
      <c r="F15" s="11"/>
    </row>
    <row r="16" spans="1:6" ht="25.5">
      <c r="A16" s="11" t="s">
        <v>421</v>
      </c>
      <c r="B16" s="11" t="s">
        <v>411</v>
      </c>
      <c r="C16" s="11"/>
      <c r="D16" s="11"/>
      <c r="E16" s="11"/>
      <c r="F16" s="11"/>
    </row>
    <row r="17" spans="1:6" ht="38.25">
      <c r="A17" s="11" t="s">
        <v>424</v>
      </c>
      <c r="B17" s="11" t="s">
        <v>413</v>
      </c>
      <c r="C17" s="11"/>
      <c r="D17" s="11"/>
      <c r="E17" s="11"/>
      <c r="F17" s="11"/>
    </row>
    <row r="18" spans="1:6" ht="25.5">
      <c r="A18" s="11" t="s">
        <v>422</v>
      </c>
      <c r="B18" s="11" t="s">
        <v>423</v>
      </c>
      <c r="C18" s="11"/>
      <c r="D18" s="11"/>
      <c r="E18" s="11"/>
      <c r="F18" s="11"/>
    </row>
    <row r="19" spans="1:6" ht="38.25" customHeight="1">
      <c r="A19" s="11" t="s">
        <v>417</v>
      </c>
      <c r="B19" s="11" t="s">
        <v>412</v>
      </c>
      <c r="C19" s="11"/>
      <c r="D19" s="11"/>
      <c r="E19" s="11"/>
      <c r="F19" s="11"/>
    </row>
  </sheetData>
  <mergeCells count="3">
    <mergeCell ref="A4:A6"/>
    <mergeCell ref="A2:A3"/>
    <mergeCell ref="A7:A1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
  <sheetViews>
    <sheetView workbookViewId="0" topLeftCell="A1">
      <selection activeCell="I8" sqref="I8"/>
    </sheetView>
  </sheetViews>
  <sheetFormatPr defaultColWidth="9.140625" defaultRowHeight="12.75"/>
  <cols>
    <col min="1" max="1" width="5.140625" style="13" customWidth="1"/>
    <col min="2" max="2" width="17.00390625" style="0" customWidth="1"/>
    <col min="3" max="3" width="9.140625" style="13" customWidth="1"/>
    <col min="4" max="4" width="8.140625" style="13" customWidth="1"/>
    <col min="5" max="5" width="11.140625" style="13" customWidth="1"/>
    <col min="6" max="6" width="7.7109375" style="13" customWidth="1"/>
    <col min="7" max="7" width="6.8515625" style="13" customWidth="1"/>
  </cols>
  <sheetData>
    <row r="1" spans="1:7" s="21" customFormat="1" ht="25.5">
      <c r="A1" s="2" t="s">
        <v>602</v>
      </c>
      <c r="B1" s="2" t="s">
        <v>105</v>
      </c>
      <c r="C1" s="2" t="s">
        <v>594</v>
      </c>
      <c r="D1" s="2" t="s">
        <v>593</v>
      </c>
      <c r="E1" s="2" t="s">
        <v>592</v>
      </c>
      <c r="F1" s="2" t="s">
        <v>595</v>
      </c>
      <c r="G1" s="2" t="s">
        <v>596</v>
      </c>
    </row>
    <row r="2" spans="1:7" s="1" customFormat="1" ht="12.75">
      <c r="A2" s="3">
        <v>1</v>
      </c>
      <c r="B2" s="1" t="s">
        <v>601</v>
      </c>
      <c r="C2" s="3">
        <v>50</v>
      </c>
      <c r="D2" s="22">
        <f>SUM('AO System'!H80,'Non-RT Control'!G28,2,'Laser System'!H37,'Operations Tools'!G23)+0.5+0.5</f>
        <v>11.8921568627451</v>
      </c>
      <c r="E2" s="22">
        <f>0.5*5</f>
        <v>2.5</v>
      </c>
      <c r="F2" s="23">
        <f>120*(D2+E2)</f>
        <v>1727.058823529412</v>
      </c>
      <c r="G2" s="23">
        <f>C2+F2</f>
        <v>1777.058823529412</v>
      </c>
    </row>
    <row r="3" spans="1:7" ht="12.75">
      <c r="A3" s="13">
        <v>2</v>
      </c>
      <c r="B3" t="s">
        <v>597</v>
      </c>
      <c r="C3" s="17">
        <f>SUM('AO System'!G79,'Non-RT Control'!F27,2000,100)</f>
        <v>7207.263333333333</v>
      </c>
      <c r="D3" s="20"/>
      <c r="E3" s="20">
        <f>SUM('AO System'!I80,'Non-RT Control'!H28,3,1,0.5)</f>
        <v>19</v>
      </c>
      <c r="F3" s="23">
        <f aca="true" t="shared" si="0" ref="F3:F9">120*(D3+E3)</f>
        <v>2280</v>
      </c>
      <c r="G3" s="23">
        <f aca="true" t="shared" si="1" ref="G3:G10">C3+F3</f>
        <v>9487.263333333332</v>
      </c>
    </row>
    <row r="4" spans="1:7" ht="12.75">
      <c r="A4" s="13">
        <v>3</v>
      </c>
      <c r="B4" t="s">
        <v>598</v>
      </c>
      <c r="C4" s="13">
        <f>'Laser System'!G36+100</f>
        <v>12233</v>
      </c>
      <c r="D4" s="20"/>
      <c r="E4" s="20">
        <f>'Laser System'!I37</f>
        <v>3.235294117647059</v>
      </c>
      <c r="F4" s="23">
        <f t="shared" si="0"/>
        <v>388.2352941176471</v>
      </c>
      <c r="G4" s="23">
        <f t="shared" si="1"/>
        <v>12621.235294117647</v>
      </c>
    </row>
    <row r="5" spans="1:7" ht="12.75">
      <c r="A5" s="13">
        <v>4</v>
      </c>
      <c r="B5" t="s">
        <v>599</v>
      </c>
      <c r="C5" s="17">
        <f>'Operations Tools'!F22</f>
        <v>0</v>
      </c>
      <c r="D5" s="20"/>
      <c r="E5" s="20">
        <f>'Operations Tools'!H23</f>
        <v>6.666666666666667</v>
      </c>
      <c r="F5" s="23">
        <f t="shared" si="0"/>
        <v>800</v>
      </c>
      <c r="G5" s="23">
        <f t="shared" si="1"/>
        <v>800</v>
      </c>
    </row>
    <row r="6" spans="1:7" ht="12.75">
      <c r="A6" s="13">
        <v>6</v>
      </c>
      <c r="B6" t="s">
        <v>603</v>
      </c>
      <c r="C6" s="13">
        <v>50</v>
      </c>
      <c r="D6" s="20"/>
      <c r="E6" s="20">
        <v>5</v>
      </c>
      <c r="F6" s="23">
        <f t="shared" si="0"/>
        <v>600</v>
      </c>
      <c r="G6" s="23">
        <f t="shared" si="1"/>
        <v>650</v>
      </c>
    </row>
    <row r="7" spans="1:7" ht="12.75">
      <c r="A7" s="13">
        <v>7</v>
      </c>
      <c r="B7" t="s">
        <v>604</v>
      </c>
      <c r="C7" s="13">
        <v>0</v>
      </c>
      <c r="D7" s="20"/>
      <c r="E7" s="20">
        <v>1</v>
      </c>
      <c r="F7" s="23">
        <f t="shared" si="0"/>
        <v>120</v>
      </c>
      <c r="G7" s="23">
        <f t="shared" si="1"/>
        <v>120</v>
      </c>
    </row>
    <row r="8" spans="1:7" ht="12.75">
      <c r="A8" s="13">
        <v>8</v>
      </c>
      <c r="B8" t="s">
        <v>600</v>
      </c>
      <c r="C8" s="13">
        <f>100*6</f>
        <v>600</v>
      </c>
      <c r="D8" s="20">
        <f>SUM(D2:D7)/10</f>
        <v>1.18921568627451</v>
      </c>
      <c r="E8" s="20">
        <f>SUM(E2:E7)/10</f>
        <v>3.740196078431373</v>
      </c>
      <c r="F8" s="23">
        <f t="shared" si="0"/>
        <v>591.5294117647059</v>
      </c>
      <c r="G8" s="23">
        <f t="shared" si="1"/>
        <v>1191.5294117647059</v>
      </c>
    </row>
    <row r="9" spans="2:7" ht="12.75">
      <c r="B9" t="s">
        <v>611</v>
      </c>
      <c r="C9" s="17">
        <f>SUM(C3:C4)*0.05</f>
        <v>972.0131666666666</v>
      </c>
      <c r="D9" s="20"/>
      <c r="E9" s="20"/>
      <c r="F9" s="23">
        <f t="shared" si="0"/>
        <v>0</v>
      </c>
      <c r="G9" s="23">
        <f t="shared" si="1"/>
        <v>972.0131666666666</v>
      </c>
    </row>
    <row r="10" spans="2:7" ht="12.75">
      <c r="B10" t="s">
        <v>605</v>
      </c>
      <c r="C10" s="17">
        <f>SUM(C2:C8)*0.25</f>
        <v>5035.065833333333</v>
      </c>
      <c r="D10" s="17">
        <f>SUM(D2:D8)*0.25</f>
        <v>3.2703431372549026</v>
      </c>
      <c r="E10" s="17">
        <f>SUM(E2:E8)*0.25</f>
        <v>10.285539215686276</v>
      </c>
      <c r="F10" s="17">
        <f>SUM(F2:F8)*0.25</f>
        <v>1626.705882352941</v>
      </c>
      <c r="G10" s="23">
        <f t="shared" si="1"/>
        <v>6661.771715686275</v>
      </c>
    </row>
    <row r="11" spans="2:7" ht="12.75">
      <c r="B11" s="24" t="s">
        <v>407</v>
      </c>
      <c r="C11" s="17">
        <f>SUM(C2:C10)</f>
        <v>26147.342333333334</v>
      </c>
      <c r="D11" s="17">
        <f>SUM(D2:D10)</f>
        <v>16.351715686274513</v>
      </c>
      <c r="E11" s="17">
        <f>SUM(E2:E10)</f>
        <v>51.42769607843138</v>
      </c>
      <c r="F11" s="17">
        <f>SUM(F2:F10)</f>
        <v>8133.5294117647045</v>
      </c>
      <c r="G11" s="17">
        <f>SUM(G2:G10)</f>
        <v>34280.87174509804</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80"/>
  <sheetViews>
    <sheetView workbookViewId="0" topLeftCell="A1">
      <pane ySplit="765" topLeftCell="BM71" activePane="bottomLeft" state="split"/>
      <selection pane="topLeft" activeCell="H1" sqref="H1:I16384"/>
      <selection pane="bottomLeft" activeCell="C84" sqref="C84"/>
    </sheetView>
  </sheetViews>
  <sheetFormatPr defaultColWidth="9.140625" defaultRowHeight="12.75"/>
  <cols>
    <col min="1" max="1" width="15.140625" style="1" customWidth="1"/>
    <col min="2" max="2" width="33.8515625" style="1" customWidth="1"/>
    <col min="3" max="3" width="7.57421875" style="3" customWidth="1"/>
    <col min="4" max="4" width="28.00390625" style="1" customWidth="1"/>
    <col min="5" max="5" width="16.140625" style="1" customWidth="1"/>
    <col min="6" max="6" width="15.8515625" style="1" customWidth="1"/>
    <col min="7" max="7" width="8.00390625" style="13" customWidth="1"/>
    <col min="8" max="8" width="7.7109375" style="13" customWidth="1"/>
    <col min="9" max="9" width="11.140625" style="13" customWidth="1"/>
  </cols>
  <sheetData>
    <row r="1" spans="1:9" ht="25.5">
      <c r="A1" s="2" t="s">
        <v>105</v>
      </c>
      <c r="B1" s="2" t="s">
        <v>106</v>
      </c>
      <c r="C1" s="2" t="s">
        <v>126</v>
      </c>
      <c r="D1" s="2" t="s">
        <v>149</v>
      </c>
      <c r="E1" s="2" t="s">
        <v>115</v>
      </c>
      <c r="F1" s="2" t="s">
        <v>119</v>
      </c>
      <c r="G1" s="2" t="s">
        <v>553</v>
      </c>
      <c r="H1" s="2" t="s">
        <v>554</v>
      </c>
      <c r="I1" s="2" t="s">
        <v>555</v>
      </c>
    </row>
    <row r="2" spans="1:9" ht="25.5">
      <c r="A2" s="62" t="s">
        <v>150</v>
      </c>
      <c r="B2" s="1" t="s">
        <v>165</v>
      </c>
      <c r="D2" s="1" t="s">
        <v>354</v>
      </c>
      <c r="H2" s="13">
        <v>1</v>
      </c>
      <c r="I2" s="13">
        <v>3</v>
      </c>
    </row>
    <row r="3" spans="1:9" ht="12.75">
      <c r="A3" s="62"/>
      <c r="B3" s="1" t="s">
        <v>104</v>
      </c>
      <c r="G3" s="13">
        <v>20</v>
      </c>
      <c r="H3" s="13">
        <v>1</v>
      </c>
      <c r="I3" s="13">
        <v>3</v>
      </c>
    </row>
    <row r="4" spans="1:9" ht="12.75">
      <c r="A4" s="62"/>
      <c r="B4" s="1" t="s">
        <v>107</v>
      </c>
      <c r="G4" s="13">
        <v>2</v>
      </c>
      <c r="H4" s="13">
        <v>1</v>
      </c>
      <c r="I4" s="13">
        <v>1</v>
      </c>
    </row>
    <row r="5" spans="1:9" ht="12.75">
      <c r="A5" s="62"/>
      <c r="B5" s="1" t="s">
        <v>158</v>
      </c>
      <c r="H5" s="13">
        <v>0.2</v>
      </c>
      <c r="I5" s="13">
        <v>1</v>
      </c>
    </row>
    <row r="6" spans="1:9" ht="12.75">
      <c r="A6" s="62"/>
      <c r="B6" s="1" t="s">
        <v>151</v>
      </c>
      <c r="D6" s="1" t="s">
        <v>233</v>
      </c>
      <c r="G6" s="13">
        <v>10</v>
      </c>
      <c r="H6" s="13">
        <v>1</v>
      </c>
      <c r="I6" s="13">
        <v>3</v>
      </c>
    </row>
    <row r="7" spans="1:9" ht="25.5">
      <c r="A7" s="62"/>
      <c r="B7" s="1" t="s">
        <v>152</v>
      </c>
      <c r="G7" s="13">
        <v>20</v>
      </c>
      <c r="H7" s="13">
        <v>1</v>
      </c>
      <c r="I7" s="13">
        <v>2</v>
      </c>
    </row>
    <row r="8" spans="1:9" ht="12.75">
      <c r="A8" s="62"/>
      <c r="B8" s="1" t="s">
        <v>235</v>
      </c>
      <c r="C8" s="3">
        <v>1</v>
      </c>
      <c r="G8" s="13">
        <v>2</v>
      </c>
      <c r="H8" s="13">
        <v>0.5</v>
      </c>
      <c r="I8" s="13">
        <v>1</v>
      </c>
    </row>
    <row r="9" spans="1:9" ht="12.75">
      <c r="A9" s="62"/>
      <c r="B9" s="1" t="s">
        <v>236</v>
      </c>
      <c r="G9" s="13">
        <v>1</v>
      </c>
      <c r="H9" s="13">
        <v>0.5</v>
      </c>
      <c r="I9" s="13">
        <v>1</v>
      </c>
    </row>
    <row r="10" spans="1:9" ht="12.75">
      <c r="A10" s="62"/>
      <c r="B10" s="1" t="s">
        <v>364</v>
      </c>
      <c r="G10" s="13">
        <v>10</v>
      </c>
      <c r="H10" s="13">
        <v>1</v>
      </c>
      <c r="I10" s="13">
        <v>1</v>
      </c>
    </row>
    <row r="11" spans="1:9" ht="12.75">
      <c r="A11" s="62" t="s">
        <v>363</v>
      </c>
      <c r="B11" s="1" t="s">
        <v>365</v>
      </c>
      <c r="G11" s="13">
        <v>20</v>
      </c>
      <c r="H11" s="13">
        <v>1</v>
      </c>
      <c r="I11" s="13">
        <v>1</v>
      </c>
    </row>
    <row r="12" spans="1:9" ht="12.75">
      <c r="A12" s="62"/>
      <c r="B12" s="1" t="s">
        <v>366</v>
      </c>
      <c r="G12" s="13">
        <v>10</v>
      </c>
      <c r="H12" s="13">
        <v>0.5</v>
      </c>
      <c r="I12" s="13">
        <v>0.2</v>
      </c>
    </row>
    <row r="13" spans="1:9" ht="12.75">
      <c r="A13" s="62"/>
      <c r="B13" s="1" t="s">
        <v>364</v>
      </c>
      <c r="G13" s="13">
        <v>6</v>
      </c>
      <c r="H13" s="13">
        <v>0.5</v>
      </c>
      <c r="I13" s="13">
        <v>0.5</v>
      </c>
    </row>
    <row r="14" spans="1:2" ht="12.75">
      <c r="A14" s="62" t="s">
        <v>153</v>
      </c>
      <c r="B14" s="1" t="s">
        <v>154</v>
      </c>
    </row>
    <row r="15" spans="1:9" ht="26.25" customHeight="1">
      <c r="A15" s="62"/>
      <c r="B15" s="1" t="s">
        <v>234</v>
      </c>
      <c r="D15" s="1" t="s">
        <v>239</v>
      </c>
      <c r="E15" s="1" t="s">
        <v>238</v>
      </c>
      <c r="G15" s="13">
        <v>30</v>
      </c>
      <c r="H15" s="13">
        <v>0.5</v>
      </c>
      <c r="I15" s="13">
        <v>0.5</v>
      </c>
    </row>
    <row r="16" spans="1:9" ht="12.75">
      <c r="A16" s="62"/>
      <c r="B16" s="1" t="s">
        <v>159</v>
      </c>
      <c r="C16" s="3">
        <v>1</v>
      </c>
      <c r="G16" s="13">
        <v>200</v>
      </c>
      <c r="H16" s="13">
        <v>2</v>
      </c>
      <c r="I16" s="13">
        <v>6</v>
      </c>
    </row>
    <row r="17" spans="1:9" ht="38.25">
      <c r="A17" s="62"/>
      <c r="B17" s="1" t="s">
        <v>440</v>
      </c>
      <c r="D17" s="1" t="s">
        <v>237</v>
      </c>
      <c r="G17" s="13">
        <v>100</v>
      </c>
      <c r="H17" s="13">
        <v>0.2</v>
      </c>
      <c r="I17" s="13">
        <v>1</v>
      </c>
    </row>
    <row r="18" spans="1:9" ht="25.5">
      <c r="A18" s="62"/>
      <c r="B18" s="6" t="s">
        <v>355</v>
      </c>
      <c r="D18" s="1" t="s">
        <v>439</v>
      </c>
      <c r="H18" s="13">
        <v>0.2</v>
      </c>
      <c r="I18" s="13">
        <v>1</v>
      </c>
    </row>
    <row r="19" spans="1:9" ht="12.75">
      <c r="A19" s="62"/>
      <c r="B19" s="1" t="s">
        <v>161</v>
      </c>
      <c r="H19" s="13">
        <v>0.2</v>
      </c>
      <c r="I19" s="13">
        <v>1</v>
      </c>
    </row>
    <row r="20" spans="1:9" ht="51">
      <c r="A20" s="62"/>
      <c r="B20" s="1" t="s">
        <v>442</v>
      </c>
      <c r="D20" s="1" t="s">
        <v>441</v>
      </c>
      <c r="G20" s="13">
        <v>100</v>
      </c>
      <c r="H20" s="13">
        <v>0.2</v>
      </c>
      <c r="I20" s="13">
        <v>1</v>
      </c>
    </row>
    <row r="21" spans="1:9" ht="38.25">
      <c r="A21" s="62" t="s">
        <v>160</v>
      </c>
      <c r="B21" s="1" t="s">
        <v>162</v>
      </c>
      <c r="G21" s="13">
        <v>2000</v>
      </c>
      <c r="H21" s="13">
        <v>1</v>
      </c>
      <c r="I21" s="13">
        <v>1</v>
      </c>
    </row>
    <row r="22" spans="1:2" ht="25.5">
      <c r="A22" s="62"/>
      <c r="B22" s="1" t="s">
        <v>220</v>
      </c>
    </row>
    <row r="23" spans="1:2" ht="12.75">
      <c r="A23" s="62"/>
      <c r="B23" s="1" t="s">
        <v>163</v>
      </c>
    </row>
    <row r="24" spans="1:9" ht="24.75" customHeight="1">
      <c r="A24" s="62" t="s">
        <v>207</v>
      </c>
      <c r="B24" s="1" t="s">
        <v>164</v>
      </c>
      <c r="C24" s="3">
        <v>2</v>
      </c>
      <c r="E24" s="1" t="s">
        <v>240</v>
      </c>
      <c r="F24" s="1" t="s">
        <v>240</v>
      </c>
      <c r="G24" s="13">
        <v>100</v>
      </c>
      <c r="H24" s="13">
        <v>2</v>
      </c>
      <c r="I24" s="13">
        <v>2</v>
      </c>
    </row>
    <row r="25" spans="1:4" ht="12.75">
      <c r="A25" s="62"/>
      <c r="B25" s="5" t="s">
        <v>166</v>
      </c>
      <c r="D25" s="1" t="s">
        <v>169</v>
      </c>
    </row>
    <row r="26" spans="1:4" ht="12.75">
      <c r="A26" s="62"/>
      <c r="B26" s="5" t="s">
        <v>167</v>
      </c>
      <c r="D26" s="1" t="s">
        <v>170</v>
      </c>
    </row>
    <row r="27" spans="1:9" ht="12.75">
      <c r="A27" s="62"/>
      <c r="B27" s="1" t="s">
        <v>168</v>
      </c>
      <c r="H27" s="13">
        <v>1</v>
      </c>
      <c r="I27" s="13">
        <v>1</v>
      </c>
    </row>
    <row r="28" spans="1:9" ht="63.75">
      <c r="A28" s="62" t="s">
        <v>171</v>
      </c>
      <c r="B28" s="1" t="s">
        <v>241</v>
      </c>
      <c r="C28" s="3">
        <v>1</v>
      </c>
      <c r="D28" s="1" t="s">
        <v>242</v>
      </c>
      <c r="E28" s="1" t="s">
        <v>361</v>
      </c>
      <c r="F28" s="1" t="s">
        <v>362</v>
      </c>
      <c r="G28" s="13">
        <f>5+20+20</f>
        <v>45</v>
      </c>
      <c r="H28" s="13">
        <v>1</v>
      </c>
      <c r="I28" s="13">
        <v>1</v>
      </c>
    </row>
    <row r="29" spans="1:9" ht="51" customHeight="1">
      <c r="A29" s="62"/>
      <c r="B29" s="1" t="s">
        <v>246</v>
      </c>
      <c r="C29" s="3">
        <v>1</v>
      </c>
      <c r="D29" s="1" t="s">
        <v>243</v>
      </c>
      <c r="G29" s="13">
        <f>5+10+10+10+5</f>
        <v>40</v>
      </c>
      <c r="H29" s="13">
        <v>1</v>
      </c>
      <c r="I29" s="13">
        <v>1</v>
      </c>
    </row>
    <row r="30" spans="1:9" ht="38.25">
      <c r="A30" s="62"/>
      <c r="B30" s="1" t="s">
        <v>250</v>
      </c>
      <c r="C30" s="3">
        <v>1</v>
      </c>
      <c r="D30" s="1" t="s">
        <v>251</v>
      </c>
      <c r="G30" s="13">
        <v>20</v>
      </c>
      <c r="H30" s="13">
        <v>1</v>
      </c>
      <c r="I30" s="13">
        <v>1</v>
      </c>
    </row>
    <row r="31" spans="1:9" ht="38.25">
      <c r="A31" s="62"/>
      <c r="B31" s="1" t="s">
        <v>244</v>
      </c>
      <c r="C31" s="3">
        <v>1</v>
      </c>
      <c r="D31" s="1" t="s">
        <v>245</v>
      </c>
      <c r="G31" s="13">
        <f>5+10</f>
        <v>15</v>
      </c>
      <c r="H31" s="13">
        <v>1</v>
      </c>
      <c r="I31" s="13">
        <v>1</v>
      </c>
    </row>
    <row r="32" spans="1:9" ht="38.25">
      <c r="A32" s="62"/>
      <c r="B32" s="1" t="s">
        <v>248</v>
      </c>
      <c r="C32" s="3">
        <v>1</v>
      </c>
      <c r="D32" s="1" t="s">
        <v>249</v>
      </c>
      <c r="G32" s="13">
        <f>10</f>
        <v>10</v>
      </c>
      <c r="H32" s="13">
        <v>1</v>
      </c>
      <c r="I32" s="13">
        <v>1</v>
      </c>
    </row>
    <row r="33" spans="1:9" ht="25.5">
      <c r="A33" s="62"/>
      <c r="B33" s="1" t="s">
        <v>410</v>
      </c>
      <c r="C33" s="3">
        <v>1</v>
      </c>
      <c r="D33" s="1" t="s">
        <v>247</v>
      </c>
      <c r="G33" s="13">
        <v>10</v>
      </c>
      <c r="H33" s="13">
        <v>1</v>
      </c>
      <c r="I33" s="13">
        <v>1</v>
      </c>
    </row>
    <row r="34" spans="1:9" ht="25.5">
      <c r="A34" s="62" t="s">
        <v>172</v>
      </c>
      <c r="B34" s="1" t="s">
        <v>173</v>
      </c>
      <c r="H34" s="13">
        <v>0.5</v>
      </c>
      <c r="I34" s="13">
        <v>1</v>
      </c>
    </row>
    <row r="35" spans="1:9" ht="38.25">
      <c r="A35" s="62"/>
      <c r="B35" s="1" t="s">
        <v>176</v>
      </c>
      <c r="C35" s="3">
        <v>3</v>
      </c>
      <c r="G35" s="13">
        <f>15+25</f>
        <v>40</v>
      </c>
      <c r="H35" s="13">
        <v>1</v>
      </c>
      <c r="I35" s="13">
        <v>1</v>
      </c>
    </row>
    <row r="36" spans="1:9" ht="38.25">
      <c r="A36" s="62"/>
      <c r="B36" s="1" t="s">
        <v>177</v>
      </c>
      <c r="C36" s="3">
        <v>3</v>
      </c>
      <c r="G36" s="13">
        <f>15+25</f>
        <v>40</v>
      </c>
      <c r="H36" s="13">
        <v>1</v>
      </c>
      <c r="I36" s="13">
        <v>1</v>
      </c>
    </row>
    <row r="37" spans="1:9" ht="36.75" customHeight="1">
      <c r="A37" s="62" t="s">
        <v>174</v>
      </c>
      <c r="B37" s="1" t="s">
        <v>352</v>
      </c>
      <c r="E37" s="1" t="s">
        <v>346</v>
      </c>
      <c r="F37" s="1" t="s">
        <v>347</v>
      </c>
      <c r="G37" s="13">
        <f>5*60</f>
        <v>300</v>
      </c>
      <c r="H37" s="13">
        <v>3</v>
      </c>
      <c r="I37" s="13">
        <v>12</v>
      </c>
    </row>
    <row r="38" spans="1:5" ht="39" customHeight="1">
      <c r="A38" s="62"/>
      <c r="B38" s="1" t="s">
        <v>223</v>
      </c>
      <c r="D38" s="1" t="s">
        <v>259</v>
      </c>
      <c r="E38" s="1" t="s">
        <v>252</v>
      </c>
    </row>
    <row r="39" spans="1:4" ht="38.25">
      <c r="A39" s="62"/>
      <c r="B39" s="1" t="s">
        <v>222</v>
      </c>
      <c r="D39" s="1" t="s">
        <v>258</v>
      </c>
    </row>
    <row r="40" spans="1:6" ht="38.25" customHeight="1">
      <c r="A40" s="62"/>
      <c r="B40" s="1" t="s">
        <v>175</v>
      </c>
      <c r="F40" s="1" t="s">
        <v>260</v>
      </c>
    </row>
    <row r="41" spans="1:9" ht="25.5">
      <c r="A41" s="62"/>
      <c r="B41" s="1" t="s">
        <v>253</v>
      </c>
      <c r="D41" s="1" t="s">
        <v>348</v>
      </c>
      <c r="E41" s="1" t="s">
        <v>349</v>
      </c>
      <c r="H41" s="13">
        <v>0.5</v>
      </c>
      <c r="I41" s="13">
        <v>1</v>
      </c>
    </row>
    <row r="42" spans="1:2" ht="12.75">
      <c r="A42" s="62"/>
      <c r="B42" s="1" t="s">
        <v>180</v>
      </c>
    </row>
    <row r="43" spans="1:9" ht="38.25">
      <c r="A43" s="62"/>
      <c r="B43" s="1" t="s">
        <v>351</v>
      </c>
      <c r="C43" s="3">
        <v>4</v>
      </c>
      <c r="G43" s="13">
        <v>50</v>
      </c>
      <c r="H43" s="13">
        <v>1</v>
      </c>
      <c r="I43" s="13">
        <v>2</v>
      </c>
    </row>
    <row r="44" spans="1:9" ht="25.5">
      <c r="A44" s="62"/>
      <c r="B44" s="7" t="s">
        <v>353</v>
      </c>
      <c r="C44" s="3">
        <v>10</v>
      </c>
      <c r="G44" s="13">
        <v>50</v>
      </c>
      <c r="H44" s="13">
        <v>1</v>
      </c>
      <c r="I44" s="13">
        <v>1</v>
      </c>
    </row>
    <row r="45" spans="1:9" ht="12.75">
      <c r="A45" s="62"/>
      <c r="B45" s="1" t="s">
        <v>179</v>
      </c>
      <c r="C45" s="3">
        <v>2</v>
      </c>
      <c r="D45" s="1" t="s">
        <v>178</v>
      </c>
      <c r="G45" s="13">
        <v>10</v>
      </c>
      <c r="H45" s="13">
        <v>0.5</v>
      </c>
      <c r="I45" s="13">
        <v>1</v>
      </c>
    </row>
    <row r="46" spans="1:9" ht="12.75">
      <c r="A46" s="62"/>
      <c r="B46" s="1" t="s">
        <v>350</v>
      </c>
      <c r="C46" s="3">
        <v>1</v>
      </c>
      <c r="G46" s="13">
        <v>10</v>
      </c>
      <c r="H46" s="13">
        <v>0.5</v>
      </c>
      <c r="I46" s="13">
        <v>1</v>
      </c>
    </row>
    <row r="47" spans="1:9" ht="51">
      <c r="A47" s="62" t="s">
        <v>189</v>
      </c>
      <c r="B47" s="1" t="s">
        <v>181</v>
      </c>
      <c r="D47" s="1" t="s">
        <v>182</v>
      </c>
      <c r="E47" s="1" t="s">
        <v>360</v>
      </c>
      <c r="G47" s="13">
        <f>3*(100+35)+100</f>
        <v>505</v>
      </c>
      <c r="H47" s="13">
        <v>4</v>
      </c>
      <c r="I47" s="13">
        <v>9</v>
      </c>
    </row>
    <row r="48" spans="1:2" ht="12.75">
      <c r="A48" s="62"/>
      <c r="B48" s="1" t="s">
        <v>183</v>
      </c>
    </row>
    <row r="49" spans="1:2" ht="12.75">
      <c r="A49" s="62"/>
      <c r="B49" s="1" t="s">
        <v>184</v>
      </c>
    </row>
    <row r="50" spans="1:5" ht="25.5">
      <c r="A50" s="62"/>
      <c r="B50" s="1" t="s">
        <v>185</v>
      </c>
      <c r="D50" s="1" t="s">
        <v>358</v>
      </c>
      <c r="E50" s="1" t="s">
        <v>357</v>
      </c>
    </row>
    <row r="51" spans="1:9" ht="12.75">
      <c r="A51" s="62"/>
      <c r="B51" s="1" t="s">
        <v>186</v>
      </c>
      <c r="H51" s="13">
        <v>0.2</v>
      </c>
      <c r="I51" s="13">
        <v>0.2</v>
      </c>
    </row>
    <row r="52" spans="1:7" ht="38.25">
      <c r="A52" s="62"/>
      <c r="B52" s="1" t="s">
        <v>187</v>
      </c>
      <c r="D52" s="1" t="s">
        <v>359</v>
      </c>
      <c r="E52" s="1" t="s">
        <v>356</v>
      </c>
      <c r="G52" s="13">
        <f>3*100</f>
        <v>300</v>
      </c>
    </row>
    <row r="53" spans="1:7" ht="12.75">
      <c r="A53" s="62"/>
      <c r="B53" s="1" t="s">
        <v>188</v>
      </c>
      <c r="C53" s="3">
        <v>9</v>
      </c>
      <c r="G53" s="13">
        <f>3*25</f>
        <v>75</v>
      </c>
    </row>
    <row r="54" spans="1:9" ht="63.75">
      <c r="A54" s="62"/>
      <c r="B54" s="1" t="s">
        <v>261</v>
      </c>
      <c r="C54" s="3">
        <v>6</v>
      </c>
      <c r="D54" s="1" t="s">
        <v>262</v>
      </c>
      <c r="G54" s="13">
        <f>15</f>
        <v>15</v>
      </c>
      <c r="H54" s="13">
        <v>1</v>
      </c>
      <c r="I54" s="13">
        <v>2</v>
      </c>
    </row>
    <row r="55" spans="1:9" ht="38.25">
      <c r="A55" s="62" t="s">
        <v>190</v>
      </c>
      <c r="B55" s="1" t="s">
        <v>191</v>
      </c>
      <c r="D55" s="1" t="s">
        <v>195</v>
      </c>
      <c r="G55" s="13">
        <v>75</v>
      </c>
      <c r="H55" s="13">
        <v>2</v>
      </c>
      <c r="I55" s="13">
        <v>6</v>
      </c>
    </row>
    <row r="56" spans="1:2" ht="12.75">
      <c r="A56" s="62"/>
      <c r="B56" s="1" t="s">
        <v>192</v>
      </c>
    </row>
    <row r="57" spans="1:2" ht="12.75">
      <c r="A57" s="62"/>
      <c r="B57" s="1" t="s">
        <v>193</v>
      </c>
    </row>
    <row r="58" spans="1:2" ht="12.75">
      <c r="A58" s="62"/>
      <c r="B58" s="1" t="s">
        <v>194</v>
      </c>
    </row>
    <row r="59" spans="1:7" ht="12.75">
      <c r="A59" s="62"/>
      <c r="B59" s="1" t="s">
        <v>186</v>
      </c>
      <c r="D59" s="1" t="s">
        <v>200</v>
      </c>
      <c r="G59" s="13">
        <v>3</v>
      </c>
    </row>
    <row r="60" spans="1:7" ht="12.75">
      <c r="A60" s="62"/>
      <c r="B60" s="1" t="s">
        <v>196</v>
      </c>
      <c r="C60" s="3">
        <v>3</v>
      </c>
      <c r="D60" s="1" t="s">
        <v>199</v>
      </c>
      <c r="G60" s="13">
        <v>10</v>
      </c>
    </row>
    <row r="61" spans="1:9" ht="12.75">
      <c r="A61" s="62" t="s">
        <v>197</v>
      </c>
      <c r="B61" s="1" t="s">
        <v>201</v>
      </c>
      <c r="D61" s="1" t="s">
        <v>198</v>
      </c>
      <c r="G61" s="13">
        <v>75</v>
      </c>
      <c r="H61" s="13">
        <v>1</v>
      </c>
      <c r="I61" s="13">
        <v>3</v>
      </c>
    </row>
    <row r="62" spans="1:2" ht="12.75">
      <c r="A62" s="62"/>
      <c r="B62" s="1" t="s">
        <v>221</v>
      </c>
    </row>
    <row r="63" spans="1:2" ht="12.75">
      <c r="A63" s="62"/>
      <c r="B63" s="1" t="s">
        <v>202</v>
      </c>
    </row>
    <row r="64" spans="1:3" ht="12.75">
      <c r="A64" s="62"/>
      <c r="B64" s="1" t="s">
        <v>203</v>
      </c>
      <c r="C64" s="3">
        <v>3</v>
      </c>
    </row>
    <row r="65" spans="1:9" ht="25.5">
      <c r="A65" s="1" t="s">
        <v>204</v>
      </c>
      <c r="B65" s="1" t="s">
        <v>409</v>
      </c>
      <c r="G65" s="13">
        <v>60</v>
      </c>
      <c r="H65" s="13">
        <v>1</v>
      </c>
      <c r="I65" s="13">
        <v>1</v>
      </c>
    </row>
    <row r="66" spans="1:9" ht="12.75">
      <c r="A66" s="62" t="s">
        <v>205</v>
      </c>
      <c r="B66" s="1" t="s">
        <v>408</v>
      </c>
      <c r="G66" s="13">
        <v>60</v>
      </c>
      <c r="H66" s="13">
        <v>1</v>
      </c>
      <c r="I66" s="13">
        <v>1</v>
      </c>
    </row>
    <row r="67" spans="1:9" ht="12.75">
      <c r="A67" s="62"/>
      <c r="B67" s="1" t="s">
        <v>206</v>
      </c>
      <c r="C67" s="3">
        <v>3</v>
      </c>
      <c r="G67" s="13">
        <v>5</v>
      </c>
      <c r="H67" s="13">
        <v>0.5</v>
      </c>
      <c r="I67" s="13">
        <v>0.5</v>
      </c>
    </row>
    <row r="68" spans="1:9" ht="12.75">
      <c r="A68" s="62" t="s">
        <v>208</v>
      </c>
      <c r="B68" s="1" t="s">
        <v>209</v>
      </c>
      <c r="G68" s="13">
        <v>20</v>
      </c>
      <c r="H68" s="13">
        <v>2</v>
      </c>
      <c r="I68" s="13">
        <v>6</v>
      </c>
    </row>
    <row r="69" spans="1:7" ht="12.75">
      <c r="A69" s="62"/>
      <c r="B69" s="1" t="s">
        <v>210</v>
      </c>
      <c r="C69" s="3">
        <v>1</v>
      </c>
      <c r="G69" s="13">
        <v>5</v>
      </c>
    </row>
    <row r="70" spans="1:7" ht="12.75">
      <c r="A70" s="62"/>
      <c r="B70" s="1" t="s">
        <v>321</v>
      </c>
      <c r="C70" s="3">
        <v>2</v>
      </c>
      <c r="G70" s="13">
        <v>5</v>
      </c>
    </row>
    <row r="71" spans="1:7" ht="25.5">
      <c r="A71" s="62"/>
      <c r="B71" s="1" t="s">
        <v>211</v>
      </c>
      <c r="C71" s="3">
        <v>1</v>
      </c>
      <c r="G71" s="13">
        <v>10</v>
      </c>
    </row>
    <row r="72" spans="1:7" ht="12.75">
      <c r="A72" s="62"/>
      <c r="B72" s="1" t="s">
        <v>212</v>
      </c>
      <c r="C72" s="3">
        <v>2</v>
      </c>
      <c r="G72" s="13">
        <v>10</v>
      </c>
    </row>
    <row r="73" spans="1:7" ht="12.75">
      <c r="A73" s="62"/>
      <c r="B73" s="1" t="s">
        <v>322</v>
      </c>
      <c r="C73" s="3">
        <v>1</v>
      </c>
      <c r="G73" s="13">
        <v>2</v>
      </c>
    </row>
    <row r="74" spans="1:7" ht="12.75">
      <c r="A74" s="62"/>
      <c r="B74" s="1" t="s">
        <v>438</v>
      </c>
      <c r="C74" s="3">
        <v>1</v>
      </c>
      <c r="G74" s="13">
        <v>5</v>
      </c>
    </row>
    <row r="75" spans="1:7" ht="12.75">
      <c r="A75" s="62"/>
      <c r="B75" s="1" t="s">
        <v>323</v>
      </c>
      <c r="G75" s="13">
        <v>5</v>
      </c>
    </row>
    <row r="76" spans="1:7" ht="12.75">
      <c r="A76" s="62"/>
      <c r="B76" s="1" t="s">
        <v>213</v>
      </c>
      <c r="G76" s="13">
        <v>10</v>
      </c>
    </row>
    <row r="77" spans="1:9" ht="25.5">
      <c r="A77" s="1" t="s">
        <v>214</v>
      </c>
      <c r="B77" s="1" t="s">
        <v>263</v>
      </c>
      <c r="G77" s="13">
        <v>80</v>
      </c>
      <c r="H77" s="13">
        <v>2</v>
      </c>
      <c r="I77" s="13">
        <v>6</v>
      </c>
    </row>
    <row r="79" spans="2:9" ht="12.75">
      <c r="B79" s="10" t="s">
        <v>407</v>
      </c>
      <c r="C79" s="3">
        <f>SUM(C2:C78)</f>
        <v>65</v>
      </c>
      <c r="G79" s="3">
        <f>SUM(G2:G78)</f>
        <v>4606</v>
      </c>
      <c r="H79" s="3">
        <f>SUM(H2:H78)</f>
        <v>46.2</v>
      </c>
      <c r="I79" s="3">
        <f>SUM(I2:I78)</f>
        <v>93.9</v>
      </c>
    </row>
    <row r="80" spans="2:9" ht="12.75">
      <c r="B80" s="1" t="s">
        <v>591</v>
      </c>
      <c r="H80" s="20">
        <f>H79/10.2</f>
        <v>4.529411764705883</v>
      </c>
      <c r="I80" s="20">
        <f>I79/10.2</f>
        <v>9.205882352941178</v>
      </c>
    </row>
  </sheetData>
  <mergeCells count="13">
    <mergeCell ref="A2:A10"/>
    <mergeCell ref="A21:A23"/>
    <mergeCell ref="A24:A27"/>
    <mergeCell ref="A37:A46"/>
    <mergeCell ref="A34:A36"/>
    <mergeCell ref="A11:A13"/>
    <mergeCell ref="A55:A60"/>
    <mergeCell ref="A14:A20"/>
    <mergeCell ref="A28:A33"/>
    <mergeCell ref="A68:A76"/>
    <mergeCell ref="A61:A64"/>
    <mergeCell ref="A66:A67"/>
    <mergeCell ref="A47:A54"/>
  </mergeCells>
  <printOptions gridLines="1"/>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H29"/>
  <sheetViews>
    <sheetView workbookViewId="0" topLeftCell="A1">
      <selection activeCell="B12" sqref="B12"/>
    </sheetView>
  </sheetViews>
  <sheetFormatPr defaultColWidth="9.140625" defaultRowHeight="12.75"/>
  <cols>
    <col min="1" max="1" width="15.140625" style="1" customWidth="1"/>
    <col min="2" max="2" width="33.8515625" style="1" customWidth="1"/>
    <col min="3" max="3" width="28.00390625" style="1" customWidth="1"/>
    <col min="4" max="4" width="9.140625" style="1" customWidth="1"/>
    <col min="5" max="5" width="10.7109375" style="1" customWidth="1"/>
    <col min="6" max="6" width="8.00390625" style="0" customWidth="1"/>
    <col min="7" max="7" width="7.421875" style="0" customWidth="1"/>
    <col min="8" max="8" width="11.140625" style="0" customWidth="1"/>
  </cols>
  <sheetData>
    <row r="1" spans="1:8" ht="25.5">
      <c r="A1" s="2" t="s">
        <v>105</v>
      </c>
      <c r="B1" s="2" t="s">
        <v>106</v>
      </c>
      <c r="C1" s="2" t="s">
        <v>149</v>
      </c>
      <c r="D1" s="2" t="s">
        <v>115</v>
      </c>
      <c r="E1" s="2" t="s">
        <v>119</v>
      </c>
      <c r="F1" s="18" t="s">
        <v>553</v>
      </c>
      <c r="G1" s="2" t="s">
        <v>554</v>
      </c>
      <c r="H1" s="2" t="s">
        <v>555</v>
      </c>
    </row>
    <row r="2" spans="1:2" ht="12.75">
      <c r="A2" s="62" t="s">
        <v>367</v>
      </c>
      <c r="B2" s="1" t="s">
        <v>335</v>
      </c>
    </row>
    <row r="3" spans="1:2" ht="12.75">
      <c r="A3" s="62"/>
      <c r="B3" s="6" t="s">
        <v>336</v>
      </c>
    </row>
    <row r="4" spans="1:2" ht="12.75">
      <c r="A4" s="62"/>
      <c r="B4" s="1" t="s">
        <v>337</v>
      </c>
    </row>
    <row r="5" spans="1:2" ht="12.75">
      <c r="A5" s="62"/>
      <c r="B5" s="1" t="s">
        <v>338</v>
      </c>
    </row>
    <row r="6" spans="1:2" ht="12.75">
      <c r="A6" s="62"/>
      <c r="B6" s="1" t="s">
        <v>339</v>
      </c>
    </row>
    <row r="7" spans="1:2" ht="12.75">
      <c r="A7" s="62" t="s">
        <v>368</v>
      </c>
      <c r="B7" s="1" t="s">
        <v>340</v>
      </c>
    </row>
    <row r="8" spans="1:2" ht="12.75">
      <c r="A8" s="62"/>
      <c r="B8" s="1" t="s">
        <v>341</v>
      </c>
    </row>
    <row r="9" spans="1:2" ht="12.75">
      <c r="A9" s="62"/>
      <c r="B9" s="6" t="s">
        <v>342</v>
      </c>
    </row>
    <row r="10" spans="1:2" ht="24" customHeight="1">
      <c r="A10" s="1" t="s">
        <v>334</v>
      </c>
      <c r="B10" s="1" t="s">
        <v>345</v>
      </c>
    </row>
    <row r="11" spans="1:2" ht="12.75">
      <c r="A11" s="62" t="s">
        <v>333</v>
      </c>
      <c r="B11" s="1" t="s">
        <v>324</v>
      </c>
    </row>
    <row r="12" spans="1:2" ht="12.75">
      <c r="A12" s="62"/>
      <c r="B12" s="1" t="s">
        <v>219</v>
      </c>
    </row>
    <row r="13" spans="1:2" ht="12.75">
      <c r="A13" s="62"/>
      <c r="B13" s="1" t="s">
        <v>325</v>
      </c>
    </row>
    <row r="14" spans="1:2" ht="12.75">
      <c r="A14" s="62"/>
      <c r="B14" s="1" t="s">
        <v>326</v>
      </c>
    </row>
    <row r="15" spans="1:2" ht="12.75">
      <c r="A15" s="62"/>
      <c r="B15" s="1" t="s">
        <v>328</v>
      </c>
    </row>
    <row r="16" spans="1:2" ht="12.75">
      <c r="A16" s="62"/>
      <c r="B16" s="1" t="s">
        <v>327</v>
      </c>
    </row>
    <row r="17" spans="1:2" ht="12.75">
      <c r="A17" s="62"/>
      <c r="B17" s="1" t="s">
        <v>329</v>
      </c>
    </row>
    <row r="18" spans="1:2" ht="12.75">
      <c r="A18" s="62"/>
      <c r="B18" s="1" t="s">
        <v>330</v>
      </c>
    </row>
    <row r="19" spans="1:2" ht="12.75">
      <c r="A19" s="62"/>
      <c r="B19" s="1" t="s">
        <v>331</v>
      </c>
    </row>
    <row r="20" spans="1:2" ht="12.75">
      <c r="A20" s="62"/>
      <c r="B20" s="1" t="s">
        <v>332</v>
      </c>
    </row>
    <row r="21" spans="1:2" ht="12.75">
      <c r="A21" s="62"/>
      <c r="B21" s="1" t="s">
        <v>343</v>
      </c>
    </row>
    <row r="22" spans="1:2" ht="12.75">
      <c r="A22" s="62"/>
      <c r="B22" s="1" t="s">
        <v>344</v>
      </c>
    </row>
    <row r="23" spans="1:2" ht="12.75">
      <c r="A23" s="62" t="s">
        <v>215</v>
      </c>
      <c r="B23" s="1" t="s">
        <v>216</v>
      </c>
    </row>
    <row r="24" spans="1:2" ht="12.75" customHeight="1">
      <c r="A24" s="62"/>
      <c r="B24" s="1" t="s">
        <v>217</v>
      </c>
    </row>
    <row r="25" spans="1:2" ht="12.75">
      <c r="A25" s="62"/>
      <c r="B25" s="1" t="s">
        <v>218</v>
      </c>
    </row>
    <row r="26" spans="1:2" ht="12.75">
      <c r="A26" s="62" t="s">
        <v>391</v>
      </c>
      <c r="B26" s="1" t="s">
        <v>392</v>
      </c>
    </row>
    <row r="27" spans="1:2" ht="12.75">
      <c r="A27" s="62"/>
      <c r="B27" s="1" t="s">
        <v>395</v>
      </c>
    </row>
    <row r="28" spans="1:2" ht="12.75">
      <c r="A28" s="62"/>
      <c r="B28" s="1" t="s">
        <v>394</v>
      </c>
    </row>
    <row r="29" spans="1:2" ht="12.75">
      <c r="A29" s="62"/>
      <c r="B29" s="1" t="s">
        <v>393</v>
      </c>
    </row>
  </sheetData>
  <mergeCells count="5">
    <mergeCell ref="A26:A29"/>
    <mergeCell ref="A2:A6"/>
    <mergeCell ref="A7:A9"/>
    <mergeCell ref="A11:A22"/>
    <mergeCell ref="A23:A2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28"/>
  <sheetViews>
    <sheetView workbookViewId="0" topLeftCell="A1">
      <selection activeCell="C15" sqref="C15"/>
    </sheetView>
  </sheetViews>
  <sheetFormatPr defaultColWidth="9.140625" defaultRowHeight="12.75"/>
  <cols>
    <col min="1" max="1" width="15.140625" style="1" customWidth="1"/>
    <col min="2" max="2" width="33.8515625" style="1" customWidth="1"/>
    <col min="3" max="3" width="28.00390625" style="1" customWidth="1"/>
    <col min="4" max="4" width="9.140625" style="1" customWidth="1"/>
    <col min="5" max="5" width="10.7109375" style="1" customWidth="1"/>
    <col min="6" max="6" width="8.00390625" style="17" customWidth="1"/>
    <col min="7" max="7" width="7.421875" style="13" customWidth="1"/>
    <col min="8" max="8" width="10.7109375" style="13" customWidth="1"/>
  </cols>
  <sheetData>
    <row r="1" spans="1:8" ht="25.5">
      <c r="A1" s="2" t="s">
        <v>105</v>
      </c>
      <c r="B1" s="2" t="s">
        <v>106</v>
      </c>
      <c r="C1" s="2" t="s">
        <v>149</v>
      </c>
      <c r="D1" s="2" t="s">
        <v>115</v>
      </c>
      <c r="E1" s="2" t="s">
        <v>119</v>
      </c>
      <c r="F1" s="18" t="s">
        <v>553</v>
      </c>
      <c r="G1" s="2" t="s">
        <v>554</v>
      </c>
      <c r="H1" s="2" t="s">
        <v>555</v>
      </c>
    </row>
    <row r="2" spans="1:8" s="9" customFormat="1" ht="12.75">
      <c r="A2" s="64" t="s">
        <v>374</v>
      </c>
      <c r="B2" s="1" t="s">
        <v>370</v>
      </c>
      <c r="C2" s="8"/>
      <c r="D2" s="8"/>
      <c r="E2" s="8"/>
      <c r="F2" s="19">
        <f>3*6</f>
        <v>18</v>
      </c>
      <c r="G2" s="16">
        <v>2</v>
      </c>
      <c r="H2" s="16">
        <v>12</v>
      </c>
    </row>
    <row r="3" spans="1:6" ht="12.75">
      <c r="A3" s="62"/>
      <c r="B3" s="1" t="s">
        <v>371</v>
      </c>
      <c r="C3" s="2"/>
      <c r="D3" s="2"/>
      <c r="E3" s="2"/>
      <c r="F3" s="17">
        <v>20</v>
      </c>
    </row>
    <row r="4" spans="1:6" ht="12.75">
      <c r="A4" s="62"/>
      <c r="B4" s="1" t="s">
        <v>372</v>
      </c>
      <c r="C4" s="2"/>
      <c r="D4" s="2"/>
      <c r="E4" s="2"/>
      <c r="F4" s="17">
        <f>5*4</f>
        <v>20</v>
      </c>
    </row>
    <row r="5" spans="1:5" ht="12.75">
      <c r="A5" s="62"/>
      <c r="B5" s="1" t="s">
        <v>375</v>
      </c>
      <c r="C5" s="2"/>
      <c r="D5" s="2"/>
      <c r="E5" s="2"/>
    </row>
    <row r="6" spans="1:5" ht="12.75">
      <c r="A6" s="62"/>
      <c r="B6" s="1" t="s">
        <v>376</v>
      </c>
      <c r="C6" s="2"/>
      <c r="D6" s="2"/>
      <c r="E6" s="2"/>
    </row>
    <row r="7" spans="1:8" ht="12.75">
      <c r="A7" s="62" t="s">
        <v>126</v>
      </c>
      <c r="B7" s="1" t="s">
        <v>373</v>
      </c>
      <c r="F7" s="17">
        <f>('AO System'!C79+'Laser System'!C36)/8*8</f>
        <v>73</v>
      </c>
      <c r="G7" s="13">
        <v>3</v>
      </c>
      <c r="H7" s="13">
        <v>24</v>
      </c>
    </row>
    <row r="8" spans="1:6" ht="12.75">
      <c r="A8" s="62"/>
      <c r="B8" s="1" t="s">
        <v>377</v>
      </c>
      <c r="F8" s="17">
        <f>('AO System'!C79+'Laser System'!C36)*0.1</f>
        <v>7.300000000000001</v>
      </c>
    </row>
    <row r="9" spans="1:6" ht="12.75">
      <c r="A9" s="62"/>
      <c r="B9" s="1" t="s">
        <v>387</v>
      </c>
      <c r="F9" s="17">
        <f>('AO System'!C79+'Laser System'!C36)*1.3</f>
        <v>94.9</v>
      </c>
    </row>
    <row r="10" spans="1:6" ht="12.75">
      <c r="A10" s="62"/>
      <c r="B10" s="1" t="s">
        <v>388</v>
      </c>
      <c r="F10" s="17">
        <f>('AO System'!C79+'Laser System'!C36)/3*1</f>
        <v>24.333333333333332</v>
      </c>
    </row>
    <row r="11" spans="1:2" ht="25.5">
      <c r="A11" s="62"/>
      <c r="B11" s="1" t="s">
        <v>390</v>
      </c>
    </row>
    <row r="12" spans="1:2" ht="12.75">
      <c r="A12" s="62"/>
      <c r="B12" s="1" t="s">
        <v>389</v>
      </c>
    </row>
    <row r="13" spans="1:8" ht="12.75">
      <c r="A13" s="62" t="s">
        <v>384</v>
      </c>
      <c r="B13" s="1" t="s">
        <v>385</v>
      </c>
      <c r="F13" s="17">
        <f>('AO System'!C79+'Laser System'!C36)*2</f>
        <v>146</v>
      </c>
      <c r="G13" s="13">
        <v>2</v>
      </c>
      <c r="H13" s="13">
        <v>6</v>
      </c>
    </row>
    <row r="14" spans="1:6" ht="12.75">
      <c r="A14" s="62"/>
      <c r="B14" s="1" t="s">
        <v>386</v>
      </c>
      <c r="F14" s="17">
        <f>('AO System'!C79+'Laser System'!C36)*0.01</f>
        <v>0.73</v>
      </c>
    </row>
    <row r="15" spans="1:8" ht="25.5">
      <c r="A15" s="1" t="s">
        <v>369</v>
      </c>
      <c r="B15" s="1" t="s">
        <v>378</v>
      </c>
      <c r="G15" s="13">
        <v>1</v>
      </c>
      <c r="H15" s="13">
        <v>3</v>
      </c>
    </row>
    <row r="16" spans="1:8" ht="25.5">
      <c r="A16" s="62" t="s">
        <v>379</v>
      </c>
      <c r="B16" s="1" t="s">
        <v>380</v>
      </c>
      <c r="F16" s="17">
        <v>10</v>
      </c>
      <c r="G16" s="13">
        <v>1</v>
      </c>
      <c r="H16" s="13">
        <v>3</v>
      </c>
    </row>
    <row r="17" spans="1:6" ht="12.75">
      <c r="A17" s="62"/>
      <c r="B17" s="1" t="s">
        <v>381</v>
      </c>
      <c r="F17" s="17">
        <v>5</v>
      </c>
    </row>
    <row r="18" spans="1:6" ht="12.75">
      <c r="A18" s="62"/>
      <c r="B18" s="1" t="s">
        <v>382</v>
      </c>
      <c r="F18" s="17">
        <v>5</v>
      </c>
    </row>
    <row r="19" spans="1:6" ht="13.5" customHeight="1">
      <c r="A19" s="62"/>
      <c r="B19" s="1" t="s">
        <v>383</v>
      </c>
      <c r="F19" s="17">
        <v>10</v>
      </c>
    </row>
    <row r="20" spans="1:8" ht="12.75">
      <c r="A20" s="62" t="s">
        <v>391</v>
      </c>
      <c r="B20" s="1" t="s">
        <v>392</v>
      </c>
      <c r="F20" s="17">
        <f>4*10</f>
        <v>40</v>
      </c>
      <c r="G20" s="13">
        <v>1</v>
      </c>
      <c r="H20" s="13">
        <v>6</v>
      </c>
    </row>
    <row r="21" spans="1:6" ht="12.75">
      <c r="A21" s="62"/>
      <c r="B21" s="1" t="s">
        <v>395</v>
      </c>
      <c r="F21" s="17">
        <f>10*0.5</f>
        <v>5</v>
      </c>
    </row>
    <row r="22" spans="1:6" ht="12.75">
      <c r="A22" s="62"/>
      <c r="B22" s="1" t="s">
        <v>394</v>
      </c>
      <c r="F22" s="17">
        <f>4*0.25</f>
        <v>1</v>
      </c>
    </row>
    <row r="23" spans="1:6" ht="12.75">
      <c r="A23" s="62"/>
      <c r="B23" s="1" t="s">
        <v>393</v>
      </c>
      <c r="F23" s="17">
        <f>4*0.25</f>
        <v>1</v>
      </c>
    </row>
    <row r="24" spans="1:6" ht="12.75">
      <c r="A24" s="1" t="s">
        <v>558</v>
      </c>
      <c r="B24" s="1" t="s">
        <v>589</v>
      </c>
      <c r="F24" s="17">
        <f>2*10</f>
        <v>20</v>
      </c>
    </row>
    <row r="25" spans="2:6" ht="12.75">
      <c r="B25" s="1" t="s">
        <v>590</v>
      </c>
      <c r="F25" s="17">
        <v>10</v>
      </c>
    </row>
    <row r="27" spans="2:8" ht="12.75">
      <c r="B27" s="10" t="s">
        <v>407</v>
      </c>
      <c r="F27" s="17">
        <f>SUM(F2:F24)</f>
        <v>501.2633333333334</v>
      </c>
      <c r="G27" s="3">
        <f>SUM(G2:G26)</f>
        <v>10</v>
      </c>
      <c r="H27" s="3">
        <f>SUM(H2:H26)</f>
        <v>54</v>
      </c>
    </row>
    <row r="28" spans="7:8" ht="12.75">
      <c r="G28" s="20">
        <f>G27/10.2</f>
        <v>0.9803921568627452</v>
      </c>
      <c r="H28" s="20">
        <f>H27/10.2</f>
        <v>5.294117647058824</v>
      </c>
    </row>
  </sheetData>
  <mergeCells count="5">
    <mergeCell ref="A20:A23"/>
    <mergeCell ref="A2:A6"/>
    <mergeCell ref="A16:A19"/>
    <mergeCell ref="A13:A14"/>
    <mergeCell ref="A7:A12"/>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37"/>
  <sheetViews>
    <sheetView workbookViewId="0" topLeftCell="A3">
      <selection activeCell="D21" sqref="D21"/>
    </sheetView>
  </sheetViews>
  <sheetFormatPr defaultColWidth="9.140625" defaultRowHeight="12.75"/>
  <cols>
    <col min="1" max="1" width="15.140625" style="1" customWidth="1"/>
    <col min="2" max="2" width="33.8515625" style="1" customWidth="1"/>
    <col min="3" max="3" width="7.57421875" style="3" customWidth="1"/>
    <col min="4" max="4" width="28.00390625" style="1" customWidth="1"/>
    <col min="5" max="5" width="14.7109375" style="1" customWidth="1"/>
    <col min="6" max="6" width="10.7109375" style="1" customWidth="1"/>
    <col min="7" max="7" width="7.8515625" style="13" customWidth="1"/>
    <col min="8" max="8" width="7.57421875" style="13" customWidth="1"/>
    <col min="9" max="9" width="11.140625" style="13" customWidth="1"/>
  </cols>
  <sheetData>
    <row r="1" spans="1:9" s="4" customFormat="1" ht="25.5">
      <c r="A1" s="2" t="s">
        <v>105</v>
      </c>
      <c r="B1" s="2" t="s">
        <v>106</v>
      </c>
      <c r="C1" s="2" t="s">
        <v>126</v>
      </c>
      <c r="D1" s="2" t="s">
        <v>149</v>
      </c>
      <c r="E1" s="2" t="s">
        <v>115</v>
      </c>
      <c r="F1" s="2" t="s">
        <v>119</v>
      </c>
      <c r="G1" s="2" t="s">
        <v>553</v>
      </c>
      <c r="H1" s="2" t="s">
        <v>554</v>
      </c>
      <c r="I1" s="2" t="s">
        <v>555</v>
      </c>
    </row>
    <row r="2" spans="1:9" ht="25.5" customHeight="1">
      <c r="A2" s="62" t="s">
        <v>103</v>
      </c>
      <c r="B2" s="1" t="s">
        <v>113</v>
      </c>
      <c r="E2" s="1" t="s">
        <v>257</v>
      </c>
      <c r="H2" s="13">
        <v>2</v>
      </c>
      <c r="I2" s="13">
        <v>6</v>
      </c>
    </row>
    <row r="3" spans="1:9" ht="12.75">
      <c r="A3" s="62"/>
      <c r="B3" s="1" t="s">
        <v>104</v>
      </c>
      <c r="G3" s="13">
        <v>20</v>
      </c>
      <c r="H3" s="13">
        <v>0.5</v>
      </c>
      <c r="I3" s="13">
        <v>1</v>
      </c>
    </row>
    <row r="4" spans="1:9" ht="12.75">
      <c r="A4" s="62"/>
      <c r="B4" s="1" t="s">
        <v>107</v>
      </c>
      <c r="G4" s="13">
        <v>3</v>
      </c>
      <c r="H4" s="13">
        <v>0.5</v>
      </c>
      <c r="I4" s="13">
        <v>1</v>
      </c>
    </row>
    <row r="5" spans="1:9" ht="12.75">
      <c r="A5" s="62"/>
      <c r="B5" s="1" t="s">
        <v>108</v>
      </c>
      <c r="G5" s="13">
        <v>3</v>
      </c>
      <c r="H5" s="13">
        <v>0.5</v>
      </c>
      <c r="I5" s="13">
        <v>1</v>
      </c>
    </row>
    <row r="6" spans="1:9" ht="12.75">
      <c r="A6" s="62"/>
      <c r="B6" s="1" t="s">
        <v>109</v>
      </c>
      <c r="H6" s="13">
        <v>0.5</v>
      </c>
      <c r="I6" s="13">
        <v>1</v>
      </c>
    </row>
    <row r="7" spans="1:9" ht="12.75">
      <c r="A7" s="62"/>
      <c r="B7" s="1" t="s">
        <v>110</v>
      </c>
      <c r="G7" s="13">
        <v>5</v>
      </c>
      <c r="H7" s="13">
        <v>0.5</v>
      </c>
      <c r="I7" s="13">
        <v>1</v>
      </c>
    </row>
    <row r="8" spans="1:9" ht="14.25" customHeight="1">
      <c r="A8" s="62"/>
      <c r="B8" s="1" t="s">
        <v>236</v>
      </c>
      <c r="G8" s="13">
        <v>2</v>
      </c>
      <c r="H8" s="13">
        <v>0.5</v>
      </c>
      <c r="I8" s="13">
        <v>1</v>
      </c>
    </row>
    <row r="9" spans="1:9" ht="12.75">
      <c r="A9" s="62" t="s">
        <v>111</v>
      </c>
      <c r="B9" s="1" t="s">
        <v>112</v>
      </c>
      <c r="D9" s="1" t="s">
        <v>556</v>
      </c>
      <c r="G9" s="13">
        <f>3*3600</f>
        <v>10800</v>
      </c>
      <c r="H9" s="13">
        <v>4</v>
      </c>
      <c r="I9" s="13">
        <v>12</v>
      </c>
    </row>
    <row r="10" spans="1:4" ht="25.5">
      <c r="A10" s="62"/>
      <c r="B10" s="1" t="s">
        <v>557</v>
      </c>
      <c r="D10" s="1" t="s">
        <v>142</v>
      </c>
    </row>
    <row r="11" spans="1:2" ht="12.75">
      <c r="A11" s="62"/>
      <c r="B11" s="1" t="s">
        <v>114</v>
      </c>
    </row>
    <row r="12" spans="1:2" ht="12.75">
      <c r="A12" s="62"/>
      <c r="B12" s="1" t="s">
        <v>116</v>
      </c>
    </row>
    <row r="13" spans="1:7" ht="12.75">
      <c r="A13" s="62"/>
      <c r="B13" s="1" t="s">
        <v>122</v>
      </c>
      <c r="C13" s="3">
        <v>1</v>
      </c>
      <c r="G13" s="13">
        <v>20</v>
      </c>
    </row>
    <row r="14" spans="1:9" ht="13.5" customHeight="1">
      <c r="A14" s="62" t="s">
        <v>117</v>
      </c>
      <c r="B14" s="1" t="s">
        <v>254</v>
      </c>
      <c r="D14" s="62" t="s">
        <v>256</v>
      </c>
      <c r="E14" s="65" t="s">
        <v>255</v>
      </c>
      <c r="G14" s="13">
        <f>2*100</f>
        <v>200</v>
      </c>
      <c r="H14" s="13">
        <v>2</v>
      </c>
      <c r="I14" s="13">
        <v>4</v>
      </c>
    </row>
    <row r="15" spans="1:5" ht="12.75">
      <c r="A15" s="62"/>
      <c r="B15" s="1" t="s">
        <v>148</v>
      </c>
      <c r="D15" s="62"/>
      <c r="E15" s="62"/>
    </row>
    <row r="16" spans="1:5" ht="36" customHeight="1">
      <c r="A16" s="62"/>
      <c r="B16" s="1" t="s">
        <v>118</v>
      </c>
      <c r="D16" s="62"/>
      <c r="E16" s="62"/>
    </row>
    <row r="17" spans="1:9" ht="25.5">
      <c r="A17" s="62" t="s">
        <v>120</v>
      </c>
      <c r="B17" s="1" t="s">
        <v>121</v>
      </c>
      <c r="G17" s="13">
        <v>200</v>
      </c>
      <c r="H17" s="13">
        <v>4</v>
      </c>
      <c r="I17" s="13">
        <v>12</v>
      </c>
    </row>
    <row r="18" spans="1:4" ht="12.75">
      <c r="A18" s="62"/>
      <c r="B18" s="1" t="s">
        <v>155</v>
      </c>
      <c r="D18" s="62" t="s">
        <v>156</v>
      </c>
    </row>
    <row r="19" spans="1:7" ht="12.75">
      <c r="A19" s="62"/>
      <c r="B19" s="1" t="s">
        <v>123</v>
      </c>
      <c r="C19" s="3">
        <v>1</v>
      </c>
      <c r="D19" s="62"/>
      <c r="G19" s="13">
        <v>10</v>
      </c>
    </row>
    <row r="20" spans="1:7" ht="25.5">
      <c r="A20" s="62"/>
      <c r="B20" s="1" t="s">
        <v>144</v>
      </c>
      <c r="C20" s="3">
        <v>2</v>
      </c>
      <c r="D20" s="1" t="s">
        <v>143</v>
      </c>
      <c r="G20" s="13">
        <v>5</v>
      </c>
    </row>
    <row r="21" spans="1:7" ht="12.75">
      <c r="A21" s="62"/>
      <c r="B21" s="1" t="s">
        <v>131</v>
      </c>
      <c r="C21" s="3">
        <v>2</v>
      </c>
      <c r="D21" s="1" t="s">
        <v>145</v>
      </c>
      <c r="G21" s="13">
        <v>15</v>
      </c>
    </row>
    <row r="22" spans="1:7" ht="14.25" customHeight="1">
      <c r="A22" s="62"/>
      <c r="B22" s="1" t="s">
        <v>132</v>
      </c>
      <c r="C22" s="3">
        <v>1</v>
      </c>
      <c r="D22" s="1" t="s">
        <v>146</v>
      </c>
      <c r="G22" s="13">
        <v>10</v>
      </c>
    </row>
    <row r="23" spans="1:7" ht="12.75">
      <c r="A23" s="62"/>
      <c r="B23" s="1" t="s">
        <v>124</v>
      </c>
      <c r="C23" s="3">
        <v>1</v>
      </c>
      <c r="D23" s="1" t="s">
        <v>147</v>
      </c>
      <c r="G23" s="13">
        <v>5</v>
      </c>
    </row>
    <row r="24" spans="1:7" ht="12.75">
      <c r="A24" s="62"/>
      <c r="B24" s="1" t="s">
        <v>125</v>
      </c>
      <c r="G24" s="13">
        <v>10</v>
      </c>
    </row>
    <row r="25" spans="1:9" ht="12.75">
      <c r="A25" s="62" t="s">
        <v>127</v>
      </c>
      <c r="B25" s="1" t="s">
        <v>130</v>
      </c>
      <c r="D25" s="62" t="s">
        <v>135</v>
      </c>
      <c r="G25" s="13">
        <f>750</f>
        <v>750</v>
      </c>
      <c r="H25" s="13">
        <v>3</v>
      </c>
      <c r="I25" s="13">
        <v>12</v>
      </c>
    </row>
    <row r="26" spans="1:4" ht="12.75">
      <c r="A26" s="62"/>
      <c r="B26" s="1" t="s">
        <v>134</v>
      </c>
      <c r="D26" s="62"/>
    </row>
    <row r="27" spans="1:4" ht="12.75">
      <c r="A27" s="62"/>
      <c r="B27" s="1" t="s">
        <v>129</v>
      </c>
      <c r="D27" s="62"/>
    </row>
    <row r="28" spans="1:2" ht="12.75">
      <c r="A28" s="62"/>
      <c r="B28" s="1" t="s">
        <v>133</v>
      </c>
    </row>
    <row r="29" spans="1:2" ht="12.75">
      <c r="A29" s="62"/>
      <c r="B29" s="1" t="s">
        <v>128</v>
      </c>
    </row>
    <row r="30" spans="1:9" ht="12.75">
      <c r="A30" s="1" t="s">
        <v>136</v>
      </c>
      <c r="B30" s="1" t="s">
        <v>137</v>
      </c>
      <c r="G30" s="13">
        <v>30</v>
      </c>
      <c r="H30" s="13">
        <v>1</v>
      </c>
      <c r="I30" s="13">
        <v>2</v>
      </c>
    </row>
    <row r="31" spans="2:9" ht="12.75">
      <c r="B31" s="1" t="s">
        <v>138</v>
      </c>
      <c r="G31" s="13">
        <v>20</v>
      </c>
      <c r="H31" s="13">
        <v>1</v>
      </c>
      <c r="I31" s="13">
        <v>2</v>
      </c>
    </row>
    <row r="32" spans="2:9" ht="12.75">
      <c r="B32" s="1" t="s">
        <v>139</v>
      </c>
      <c r="G32" s="13">
        <v>20</v>
      </c>
      <c r="H32" s="13">
        <v>1</v>
      </c>
      <c r="I32" s="13">
        <v>2</v>
      </c>
    </row>
    <row r="33" spans="2:9" ht="12.75">
      <c r="B33" s="1" t="s">
        <v>140</v>
      </c>
      <c r="H33" s="13">
        <v>0.5</v>
      </c>
      <c r="I33" s="13">
        <v>1</v>
      </c>
    </row>
    <row r="34" spans="1:9" ht="25.5">
      <c r="A34" s="1" t="s">
        <v>157</v>
      </c>
      <c r="B34" s="1" t="s">
        <v>141</v>
      </c>
      <c r="G34" s="13">
        <v>5</v>
      </c>
      <c r="H34" s="13">
        <v>1</v>
      </c>
      <c r="I34" s="13">
        <v>2</v>
      </c>
    </row>
    <row r="36" spans="2:9" ht="12.75">
      <c r="B36" s="10" t="s">
        <v>407</v>
      </c>
      <c r="C36" s="3">
        <f>SUM(C2:C34)</f>
        <v>8</v>
      </c>
      <c r="G36" s="3">
        <f>SUM(G2:G34)</f>
        <v>12133</v>
      </c>
      <c r="H36" s="17">
        <f>SUM(H17:H35)</f>
        <v>11.5</v>
      </c>
      <c r="I36" s="17">
        <f>SUM(I17:I35)</f>
        <v>33</v>
      </c>
    </row>
    <row r="37" spans="2:9" ht="12.75">
      <c r="B37" s="1" t="s">
        <v>591</v>
      </c>
      <c r="H37" s="20">
        <f>H36/10.2</f>
        <v>1.1274509803921569</v>
      </c>
      <c r="I37" s="20">
        <f>I36/10.2</f>
        <v>3.235294117647059</v>
      </c>
    </row>
  </sheetData>
  <mergeCells count="9">
    <mergeCell ref="A2:A8"/>
    <mergeCell ref="A9:A13"/>
    <mergeCell ref="A14:A16"/>
    <mergeCell ref="A17:A24"/>
    <mergeCell ref="E14:E16"/>
    <mergeCell ref="A25:A29"/>
    <mergeCell ref="D25:D27"/>
    <mergeCell ref="D14:D16"/>
    <mergeCell ref="D18:D19"/>
  </mergeCells>
  <printOptions gridLines="1"/>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H23"/>
  <sheetViews>
    <sheetView workbookViewId="0" topLeftCell="A1">
      <selection activeCell="B23" sqref="B23"/>
    </sheetView>
  </sheetViews>
  <sheetFormatPr defaultColWidth="9.140625" defaultRowHeight="12.75"/>
  <cols>
    <col min="1" max="1" width="15.140625" style="1" customWidth="1"/>
    <col min="2" max="2" width="33.8515625" style="1" customWidth="1"/>
    <col min="3" max="3" width="28.00390625" style="1" customWidth="1"/>
    <col min="4" max="4" width="9.140625" style="1" customWidth="1"/>
    <col min="5" max="5" width="10.7109375" style="1" customWidth="1"/>
    <col min="6" max="6" width="8.00390625" style="0" customWidth="1"/>
    <col min="7" max="7" width="7.28125" style="0" customWidth="1"/>
    <col min="8" max="8" width="10.421875" style="0" customWidth="1"/>
  </cols>
  <sheetData>
    <row r="1" spans="1:8" ht="25.5">
      <c r="A1" s="2" t="s">
        <v>105</v>
      </c>
      <c r="B1" s="2" t="s">
        <v>106</v>
      </c>
      <c r="C1" s="2" t="s">
        <v>149</v>
      </c>
      <c r="D1" s="2" t="s">
        <v>115</v>
      </c>
      <c r="E1" s="2" t="s">
        <v>119</v>
      </c>
      <c r="F1" s="18" t="s">
        <v>553</v>
      </c>
      <c r="G1" s="2" t="s">
        <v>554</v>
      </c>
      <c r="H1" s="2" t="s">
        <v>555</v>
      </c>
    </row>
    <row r="2" spans="1:8" ht="12.75">
      <c r="A2" s="62" t="s">
        <v>228</v>
      </c>
      <c r="B2" s="1" t="s">
        <v>401</v>
      </c>
      <c r="F2" s="13"/>
      <c r="G2" s="13">
        <v>1</v>
      </c>
      <c r="H2" s="13">
        <v>2</v>
      </c>
    </row>
    <row r="3" spans="1:8" ht="12.75">
      <c r="A3" s="62"/>
      <c r="B3" s="1" t="s">
        <v>402</v>
      </c>
      <c r="F3" s="13"/>
      <c r="G3" s="13">
        <v>1</v>
      </c>
      <c r="H3" s="13">
        <v>3</v>
      </c>
    </row>
    <row r="4" spans="1:8" ht="12.75">
      <c r="A4" s="62"/>
      <c r="B4" s="1" t="s">
        <v>403</v>
      </c>
      <c r="F4" s="13"/>
      <c r="G4" s="13">
        <v>1</v>
      </c>
      <c r="H4" s="13">
        <v>3</v>
      </c>
    </row>
    <row r="5" spans="1:8" ht="12.75">
      <c r="A5" s="62"/>
      <c r="B5" s="1" t="s">
        <v>404</v>
      </c>
      <c r="F5" s="13"/>
      <c r="G5" s="13">
        <v>1</v>
      </c>
      <c r="H5" s="13">
        <v>3</v>
      </c>
    </row>
    <row r="6" spans="1:8" ht="12.75">
      <c r="A6" s="62" t="s">
        <v>399</v>
      </c>
      <c r="B6" s="1" t="s">
        <v>396</v>
      </c>
      <c r="F6" s="13"/>
      <c r="G6" s="13">
        <v>1</v>
      </c>
      <c r="H6" s="13">
        <v>2</v>
      </c>
    </row>
    <row r="7" spans="1:8" ht="12.75">
      <c r="A7" s="62"/>
      <c r="B7" s="1" t="s">
        <v>405</v>
      </c>
      <c r="F7" s="13"/>
      <c r="G7" s="13">
        <v>2</v>
      </c>
      <c r="H7" s="13">
        <v>6</v>
      </c>
    </row>
    <row r="8" spans="1:8" ht="12.75">
      <c r="A8" s="62"/>
      <c r="B8" s="1" t="s">
        <v>397</v>
      </c>
      <c r="F8" s="13"/>
      <c r="G8" s="13">
        <v>1</v>
      </c>
      <c r="H8" s="13">
        <v>3</v>
      </c>
    </row>
    <row r="9" spans="1:8" ht="12.75">
      <c r="A9" s="62"/>
      <c r="B9" s="1" t="s">
        <v>398</v>
      </c>
      <c r="F9" s="13"/>
      <c r="G9" s="13">
        <v>1</v>
      </c>
      <c r="H9" s="13">
        <v>3</v>
      </c>
    </row>
    <row r="10" spans="1:8" ht="25.5">
      <c r="A10" s="1" t="s">
        <v>229</v>
      </c>
      <c r="F10" s="13"/>
      <c r="G10" s="13">
        <v>2</v>
      </c>
      <c r="H10" s="13">
        <v>6</v>
      </c>
    </row>
    <row r="11" spans="1:8" ht="25.5">
      <c r="A11" s="62" t="s">
        <v>266</v>
      </c>
      <c r="B11" s="1" t="s">
        <v>230</v>
      </c>
      <c r="F11" s="13"/>
      <c r="G11" s="13">
        <v>1</v>
      </c>
      <c r="H11" s="13">
        <v>2</v>
      </c>
    </row>
    <row r="12" spans="1:8" ht="12.75">
      <c r="A12" s="62"/>
      <c r="B12" s="1" t="s">
        <v>231</v>
      </c>
      <c r="F12" s="13"/>
      <c r="G12" s="13">
        <v>1</v>
      </c>
      <c r="H12" s="13">
        <v>2</v>
      </c>
    </row>
    <row r="13" spans="1:8" ht="12.75">
      <c r="A13" s="62"/>
      <c r="B13" s="1" t="s">
        <v>232</v>
      </c>
      <c r="F13" s="13"/>
      <c r="G13" s="13">
        <v>1</v>
      </c>
      <c r="H13" s="13">
        <v>2</v>
      </c>
    </row>
    <row r="14" spans="1:8" ht="12.75">
      <c r="A14" s="62" t="s">
        <v>400</v>
      </c>
      <c r="B14" s="1" t="s">
        <v>225</v>
      </c>
      <c r="F14" s="13"/>
      <c r="G14" s="13">
        <v>1</v>
      </c>
      <c r="H14" s="13">
        <v>3</v>
      </c>
    </row>
    <row r="15" spans="1:8" ht="12.75">
      <c r="A15" s="62"/>
      <c r="B15" s="1" t="s">
        <v>226</v>
      </c>
      <c r="F15" s="13"/>
      <c r="G15" s="13">
        <v>1</v>
      </c>
      <c r="H15" s="13">
        <v>12</v>
      </c>
    </row>
    <row r="16" spans="1:8" ht="12.75">
      <c r="A16" s="62"/>
      <c r="B16" s="1" t="s">
        <v>264</v>
      </c>
      <c r="F16" s="13"/>
      <c r="G16" s="13">
        <v>1</v>
      </c>
      <c r="H16" s="13">
        <v>3</v>
      </c>
    </row>
    <row r="17" spans="1:8" ht="12.75">
      <c r="A17" s="62"/>
      <c r="B17" s="1" t="s">
        <v>265</v>
      </c>
      <c r="F17" s="13"/>
      <c r="G17" s="13">
        <v>1</v>
      </c>
      <c r="H17" s="13">
        <v>3</v>
      </c>
    </row>
    <row r="18" spans="1:8" ht="12.75">
      <c r="A18" s="62" t="s">
        <v>224</v>
      </c>
      <c r="B18" s="1" t="s">
        <v>227</v>
      </c>
      <c r="F18" s="13"/>
      <c r="G18" s="13">
        <v>3</v>
      </c>
      <c r="H18" s="13">
        <v>6</v>
      </c>
    </row>
    <row r="19" spans="1:8" ht="12.75">
      <c r="A19" s="62"/>
      <c r="B19" s="1" t="s">
        <v>267</v>
      </c>
      <c r="F19" s="13"/>
      <c r="G19" s="13">
        <v>2</v>
      </c>
      <c r="H19" s="13">
        <v>4</v>
      </c>
    </row>
    <row r="20" spans="1:8" ht="12.75">
      <c r="A20" s="1" t="s">
        <v>406</v>
      </c>
      <c r="F20" s="13"/>
      <c r="G20" s="13"/>
      <c r="H20" s="13"/>
    </row>
    <row r="22" spans="2:8" ht="12.75">
      <c r="B22" s="1" t="s">
        <v>407</v>
      </c>
      <c r="F22" s="17">
        <f>SUM(F2:F21)</f>
        <v>0</v>
      </c>
      <c r="G22" s="17">
        <f>SUM(G2:G21)</f>
        <v>23</v>
      </c>
      <c r="H22" s="17">
        <f>SUM(H2:H21)</f>
        <v>68</v>
      </c>
    </row>
    <row r="23" spans="2:8" ht="12.75">
      <c r="B23" s="1" t="s">
        <v>591</v>
      </c>
      <c r="G23" s="20">
        <f>G22/10.2</f>
        <v>2.2549019607843137</v>
      </c>
      <c r="H23" s="20">
        <f>H22/10.2</f>
        <v>6.666666666666667</v>
      </c>
    </row>
  </sheetData>
  <mergeCells count="5">
    <mergeCell ref="A2:A5"/>
    <mergeCell ref="A11:A13"/>
    <mergeCell ref="A14:A17"/>
    <mergeCell ref="A18:A19"/>
    <mergeCell ref="A6:A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I49"/>
  <sheetViews>
    <sheetView tabSelected="1" zoomScale="63" zoomScaleNormal="63" workbookViewId="0" topLeftCell="A1">
      <selection activeCell="I1" sqref="I1"/>
    </sheetView>
  </sheetViews>
  <sheetFormatPr defaultColWidth="9.140625" defaultRowHeight="12.75"/>
  <cols>
    <col min="1" max="1" width="17.00390625" style="13" bestFit="1" customWidth="1"/>
    <col min="2" max="2" width="20.00390625" style="3" bestFit="1" customWidth="1"/>
    <col min="3" max="3" width="4.7109375" style="3" bestFit="1" customWidth="1"/>
    <col min="4" max="4" width="17.7109375" style="1" customWidth="1"/>
    <col min="5" max="5" width="85.421875" style="7" bestFit="1" customWidth="1"/>
    <col min="6" max="6" width="12.00390625" style="13" bestFit="1" customWidth="1"/>
    <col min="7" max="7" width="30.28125" style="3" customWidth="1"/>
    <col min="8" max="8" width="10.140625" style="13" customWidth="1"/>
  </cols>
  <sheetData>
    <row r="1" ht="13.5" thickBot="1"/>
    <row r="2" spans="1:9" s="14" customFormat="1" ht="31.5" customHeight="1" thickBot="1">
      <c r="A2" s="72" t="s">
        <v>40</v>
      </c>
      <c r="B2" s="73"/>
      <c r="C2" s="73"/>
      <c r="D2" s="73"/>
      <c r="E2" s="73"/>
      <c r="F2" s="73"/>
      <c r="G2" s="74"/>
      <c r="H2" s="4" t="s">
        <v>612</v>
      </c>
      <c r="I2" s="14" t="s">
        <v>602</v>
      </c>
    </row>
    <row r="3" spans="1:8" s="36" customFormat="1" ht="31.5" customHeight="1" thickBot="1">
      <c r="A3" s="72" t="s">
        <v>105</v>
      </c>
      <c r="B3" s="73"/>
      <c r="C3" s="43" t="s">
        <v>543</v>
      </c>
      <c r="D3" s="44" t="s">
        <v>84</v>
      </c>
      <c r="E3" s="44" t="s">
        <v>445</v>
      </c>
      <c r="F3" s="43" t="s">
        <v>544</v>
      </c>
      <c r="G3" s="45" t="s">
        <v>559</v>
      </c>
      <c r="H3" s="35"/>
    </row>
    <row r="4" spans="1:9" s="14" customFormat="1" ht="63.75" customHeight="1">
      <c r="A4" s="66"/>
      <c r="B4" s="70" t="s">
        <v>43</v>
      </c>
      <c r="C4" s="34">
        <v>1</v>
      </c>
      <c r="D4" s="33" t="s">
        <v>56</v>
      </c>
      <c r="E4" s="33" t="s">
        <v>606</v>
      </c>
      <c r="F4" s="32" t="s">
        <v>100</v>
      </c>
      <c r="G4" s="37" t="s">
        <v>568</v>
      </c>
      <c r="H4" s="4">
        <v>100</v>
      </c>
      <c r="I4" s="14" t="s">
        <v>614</v>
      </c>
    </row>
    <row r="5" spans="1:9" s="14" customFormat="1" ht="63.75" customHeight="1">
      <c r="A5" s="66"/>
      <c r="B5" s="70"/>
      <c r="C5" s="34">
        <f>C4+1</f>
        <v>2</v>
      </c>
      <c r="D5" s="33" t="s">
        <v>613</v>
      </c>
      <c r="E5" s="33" t="s">
        <v>571</v>
      </c>
      <c r="F5" s="32" t="s">
        <v>100</v>
      </c>
      <c r="G5" s="37" t="s">
        <v>569</v>
      </c>
      <c r="H5" s="4">
        <v>40</v>
      </c>
      <c r="I5" s="14" t="s">
        <v>614</v>
      </c>
    </row>
    <row r="6" spans="1:9" s="14" customFormat="1" ht="63.75" customHeight="1">
      <c r="A6" s="66"/>
      <c r="B6" s="70"/>
      <c r="C6" s="34">
        <f aca="true" t="shared" si="0" ref="C6:C45">C5+1</f>
        <v>3</v>
      </c>
      <c r="D6" s="33" t="s">
        <v>54</v>
      </c>
      <c r="E6" s="33" t="s">
        <v>87</v>
      </c>
      <c r="F6" s="32" t="s">
        <v>100</v>
      </c>
      <c r="G6" s="37" t="s">
        <v>85</v>
      </c>
      <c r="H6" s="4">
        <v>40</v>
      </c>
      <c r="I6" s="14" t="s">
        <v>614</v>
      </c>
    </row>
    <row r="7" spans="1:9" s="14" customFormat="1" ht="63.75" customHeight="1">
      <c r="A7" s="66"/>
      <c r="B7" s="70"/>
      <c r="C7" s="34">
        <f t="shared" si="0"/>
        <v>4</v>
      </c>
      <c r="D7" s="33" t="s">
        <v>567</v>
      </c>
      <c r="E7" s="33" t="s">
        <v>566</v>
      </c>
      <c r="F7" s="32" t="s">
        <v>100</v>
      </c>
      <c r="G7" s="37" t="s">
        <v>569</v>
      </c>
      <c r="H7" s="4">
        <v>200</v>
      </c>
      <c r="I7" s="14" t="s">
        <v>614</v>
      </c>
    </row>
    <row r="8" spans="1:9" s="14" customFormat="1" ht="63.75" customHeight="1">
      <c r="A8" s="66"/>
      <c r="B8" s="70"/>
      <c r="C8" s="34">
        <f t="shared" si="0"/>
        <v>5</v>
      </c>
      <c r="D8" s="33" t="s">
        <v>93</v>
      </c>
      <c r="E8" s="33" t="s">
        <v>94</v>
      </c>
      <c r="F8" s="32" t="s">
        <v>101</v>
      </c>
      <c r="G8" s="37" t="s">
        <v>98</v>
      </c>
      <c r="H8" s="4">
        <v>10</v>
      </c>
      <c r="I8" s="14" t="s">
        <v>614</v>
      </c>
    </row>
    <row r="9" spans="1:9" s="14" customFormat="1" ht="63.75" customHeight="1">
      <c r="A9" s="66"/>
      <c r="B9" s="69"/>
      <c r="C9" s="49">
        <f t="shared" si="0"/>
        <v>6</v>
      </c>
      <c r="D9" s="50" t="s">
        <v>55</v>
      </c>
      <c r="E9" s="50" t="s">
        <v>565</v>
      </c>
      <c r="F9" s="51" t="s">
        <v>101</v>
      </c>
      <c r="G9" s="58" t="s">
        <v>570</v>
      </c>
      <c r="H9" s="4">
        <v>20</v>
      </c>
      <c r="I9" s="14" t="s">
        <v>614</v>
      </c>
    </row>
    <row r="10" spans="1:9" s="14" customFormat="1" ht="63.75" customHeight="1">
      <c r="A10" s="66"/>
      <c r="B10" s="60" t="s">
        <v>60</v>
      </c>
      <c r="C10" s="53">
        <f t="shared" si="0"/>
        <v>7</v>
      </c>
      <c r="D10" s="54" t="s">
        <v>71</v>
      </c>
      <c r="E10" s="54" t="s">
        <v>25</v>
      </c>
      <c r="F10" s="55" t="s">
        <v>100</v>
      </c>
      <c r="G10" s="59" t="s">
        <v>26</v>
      </c>
      <c r="H10" s="4">
        <v>100</v>
      </c>
      <c r="I10" s="14" t="s">
        <v>615</v>
      </c>
    </row>
    <row r="11" spans="1:9" s="14" customFormat="1" ht="63.75" customHeight="1">
      <c r="A11" s="66"/>
      <c r="B11" s="68" t="s">
        <v>44</v>
      </c>
      <c r="C11" s="46">
        <f t="shared" si="0"/>
        <v>8</v>
      </c>
      <c r="D11" s="47" t="s">
        <v>560</v>
      </c>
      <c r="E11" s="47" t="s">
        <v>561</v>
      </c>
      <c r="F11" s="48" t="s">
        <v>100</v>
      </c>
      <c r="G11" s="57" t="s">
        <v>564</v>
      </c>
      <c r="H11" s="4">
        <v>60</v>
      </c>
      <c r="I11" s="14" t="s">
        <v>616</v>
      </c>
    </row>
    <row r="12" spans="1:9" s="14" customFormat="1" ht="63.75" customHeight="1">
      <c r="A12" s="66"/>
      <c r="B12" s="70"/>
      <c r="C12" s="34">
        <f t="shared" si="0"/>
        <v>9</v>
      </c>
      <c r="D12" s="33" t="s">
        <v>45</v>
      </c>
      <c r="E12" s="33" t="s">
        <v>562</v>
      </c>
      <c r="F12" s="32" t="s">
        <v>100</v>
      </c>
      <c r="G12" s="37" t="s">
        <v>563</v>
      </c>
      <c r="H12" s="4">
        <v>80</v>
      </c>
      <c r="I12" s="14" t="s">
        <v>616</v>
      </c>
    </row>
    <row r="13" spans="1:9" s="14" customFormat="1" ht="63.75" customHeight="1">
      <c r="A13" s="66"/>
      <c r="B13" s="69"/>
      <c r="C13" s="49">
        <f t="shared" si="0"/>
        <v>10</v>
      </c>
      <c r="D13" s="50" t="s">
        <v>552</v>
      </c>
      <c r="E13" s="50" t="s">
        <v>95</v>
      </c>
      <c r="F13" s="51" t="s">
        <v>101</v>
      </c>
      <c r="G13" s="58" t="s">
        <v>96</v>
      </c>
      <c r="H13" s="4">
        <v>60</v>
      </c>
      <c r="I13" s="14" t="s">
        <v>616</v>
      </c>
    </row>
    <row r="14" spans="1:9" s="14" customFormat="1" ht="63.75" customHeight="1">
      <c r="A14" s="66"/>
      <c r="B14" s="68" t="s">
        <v>48</v>
      </c>
      <c r="C14" s="46">
        <f t="shared" si="0"/>
        <v>11</v>
      </c>
      <c r="D14" s="47" t="s">
        <v>52</v>
      </c>
      <c r="E14" s="47" t="s">
        <v>584</v>
      </c>
      <c r="F14" s="48" t="s">
        <v>100</v>
      </c>
      <c r="G14" s="57" t="s">
        <v>569</v>
      </c>
      <c r="H14" s="4">
        <v>40</v>
      </c>
      <c r="I14" s="14" t="s">
        <v>616</v>
      </c>
    </row>
    <row r="15" spans="1:9" s="14" customFormat="1" ht="63.75" customHeight="1">
      <c r="A15" s="66"/>
      <c r="B15" s="70"/>
      <c r="C15" s="34">
        <f t="shared" si="0"/>
        <v>12</v>
      </c>
      <c r="D15" s="33" t="s">
        <v>64</v>
      </c>
      <c r="E15" s="33" t="s">
        <v>608</v>
      </c>
      <c r="F15" s="32" t="s">
        <v>100</v>
      </c>
      <c r="G15" s="37" t="s">
        <v>609</v>
      </c>
      <c r="H15" s="4">
        <v>30</v>
      </c>
      <c r="I15" s="14" t="s">
        <v>616</v>
      </c>
    </row>
    <row r="16" spans="1:9" s="14" customFormat="1" ht="63.75" customHeight="1">
      <c r="A16" s="66"/>
      <c r="B16" s="70"/>
      <c r="C16" s="34">
        <f t="shared" si="0"/>
        <v>13</v>
      </c>
      <c r="D16" s="33" t="s">
        <v>18</v>
      </c>
      <c r="E16" s="33" t="s">
        <v>19</v>
      </c>
      <c r="F16" s="32" t="s">
        <v>101</v>
      </c>
      <c r="G16" s="37" t="s">
        <v>17</v>
      </c>
      <c r="H16" s="4">
        <v>20</v>
      </c>
      <c r="I16" s="14" t="s">
        <v>616</v>
      </c>
    </row>
    <row r="17" spans="1:9" s="14" customFormat="1" ht="63.75" customHeight="1">
      <c r="A17" s="66"/>
      <c r="B17" s="70"/>
      <c r="C17" s="34">
        <f t="shared" si="0"/>
        <v>14</v>
      </c>
      <c r="D17" s="33" t="s">
        <v>550</v>
      </c>
      <c r="E17" s="33" t="s">
        <v>12</v>
      </c>
      <c r="F17" s="32" t="s">
        <v>102</v>
      </c>
      <c r="G17" s="37" t="s">
        <v>13</v>
      </c>
      <c r="H17" s="4">
        <v>20</v>
      </c>
      <c r="I17" s="14" t="s">
        <v>620</v>
      </c>
    </row>
    <row r="18" spans="1:9" s="14" customFormat="1" ht="63.75" customHeight="1">
      <c r="A18" s="66"/>
      <c r="B18" s="70"/>
      <c r="C18" s="34">
        <f t="shared" si="0"/>
        <v>15</v>
      </c>
      <c r="D18" s="33" t="s">
        <v>548</v>
      </c>
      <c r="E18" s="33" t="s">
        <v>16</v>
      </c>
      <c r="F18" s="32" t="s">
        <v>102</v>
      </c>
      <c r="G18" s="37" t="s">
        <v>17</v>
      </c>
      <c r="H18" s="4">
        <v>20</v>
      </c>
      <c r="I18" s="14" t="s">
        <v>620</v>
      </c>
    </row>
    <row r="19" spans="1:9" s="14" customFormat="1" ht="63.75" customHeight="1">
      <c r="A19" s="66"/>
      <c r="B19" s="70"/>
      <c r="C19" s="34">
        <f>C18+1</f>
        <v>16</v>
      </c>
      <c r="D19" s="33" t="s">
        <v>547</v>
      </c>
      <c r="E19" s="33" t="s">
        <v>39</v>
      </c>
      <c r="F19" s="32" t="s">
        <v>102</v>
      </c>
      <c r="G19" s="37" t="s">
        <v>17</v>
      </c>
      <c r="H19" s="4">
        <v>20</v>
      </c>
      <c r="I19" s="14" t="s">
        <v>620</v>
      </c>
    </row>
    <row r="20" spans="1:9" s="14" customFormat="1" ht="63.75" customHeight="1">
      <c r="A20" s="66"/>
      <c r="B20" s="69"/>
      <c r="C20" s="49">
        <f t="shared" si="0"/>
        <v>17</v>
      </c>
      <c r="D20" s="50" t="s">
        <v>546</v>
      </c>
      <c r="E20" s="50" t="s">
        <v>20</v>
      </c>
      <c r="F20" s="51" t="s">
        <v>101</v>
      </c>
      <c r="G20" s="58" t="s">
        <v>21</v>
      </c>
      <c r="H20" s="4">
        <v>80</v>
      </c>
      <c r="I20" s="14" t="s">
        <v>616</v>
      </c>
    </row>
    <row r="21" spans="1:9" s="14" customFormat="1" ht="63.75" customHeight="1">
      <c r="A21" s="66"/>
      <c r="B21" s="68" t="s">
        <v>49</v>
      </c>
      <c r="C21" s="46">
        <f t="shared" si="0"/>
        <v>18</v>
      </c>
      <c r="D21" s="47" t="s">
        <v>10</v>
      </c>
      <c r="E21" s="47" t="s">
        <v>11</v>
      </c>
      <c r="F21" s="48" t="s">
        <v>100</v>
      </c>
      <c r="G21" s="57" t="s">
        <v>7</v>
      </c>
      <c r="H21" s="4">
        <v>200</v>
      </c>
      <c r="I21" s="14" t="s">
        <v>616</v>
      </c>
    </row>
    <row r="22" spans="1:9" s="14" customFormat="1" ht="63.75" customHeight="1">
      <c r="A22" s="66"/>
      <c r="B22" s="70"/>
      <c r="C22" s="34">
        <f t="shared" si="0"/>
        <v>19</v>
      </c>
      <c r="D22" s="33" t="s">
        <v>69</v>
      </c>
      <c r="E22" s="33" t="s">
        <v>6</v>
      </c>
      <c r="F22" s="32" t="s">
        <v>100</v>
      </c>
      <c r="G22" s="37" t="s">
        <v>7</v>
      </c>
      <c r="H22" s="4">
        <v>60</v>
      </c>
      <c r="I22" s="14" t="s">
        <v>616</v>
      </c>
    </row>
    <row r="23" spans="1:9" s="14" customFormat="1" ht="63.75" customHeight="1">
      <c r="A23" s="66"/>
      <c r="B23" s="70"/>
      <c r="C23" s="34">
        <f t="shared" si="0"/>
        <v>20</v>
      </c>
      <c r="D23" s="33" t="s">
        <v>63</v>
      </c>
      <c r="E23" s="33" t="s">
        <v>37</v>
      </c>
      <c r="F23" s="32" t="s">
        <v>101</v>
      </c>
      <c r="G23" s="37" t="s">
        <v>607</v>
      </c>
      <c r="H23" s="4">
        <v>40</v>
      </c>
      <c r="I23" s="14" t="s">
        <v>616</v>
      </c>
    </row>
    <row r="24" spans="1:9" s="14" customFormat="1" ht="63.75" customHeight="1">
      <c r="A24" s="66"/>
      <c r="B24" s="69"/>
      <c r="C24" s="49">
        <f t="shared" si="0"/>
        <v>21</v>
      </c>
      <c r="D24" s="50" t="s">
        <v>51</v>
      </c>
      <c r="E24" s="50" t="s">
        <v>577</v>
      </c>
      <c r="F24" s="51" t="s">
        <v>102</v>
      </c>
      <c r="G24" s="58" t="s">
        <v>580</v>
      </c>
      <c r="H24" s="4">
        <v>20</v>
      </c>
      <c r="I24" s="14" t="s">
        <v>620</v>
      </c>
    </row>
    <row r="25" spans="1:9" s="14" customFormat="1" ht="63.75" customHeight="1">
      <c r="A25" s="66"/>
      <c r="B25" s="68" t="s">
        <v>46</v>
      </c>
      <c r="C25" s="46">
        <f t="shared" si="0"/>
        <v>22</v>
      </c>
      <c r="D25" s="47" t="s">
        <v>572</v>
      </c>
      <c r="E25" s="47" t="s">
        <v>574</v>
      </c>
      <c r="F25" s="48" t="s">
        <v>100</v>
      </c>
      <c r="G25" s="57" t="s">
        <v>573</v>
      </c>
      <c r="H25" s="4">
        <v>50</v>
      </c>
      <c r="I25" s="14" t="s">
        <v>616</v>
      </c>
    </row>
    <row r="26" spans="1:9" s="14" customFormat="1" ht="63.75" customHeight="1">
      <c r="A26" s="66"/>
      <c r="B26" s="69"/>
      <c r="C26" s="49">
        <f t="shared" si="0"/>
        <v>23</v>
      </c>
      <c r="D26" s="50" t="s">
        <v>581</v>
      </c>
      <c r="E26" s="50" t="s">
        <v>582</v>
      </c>
      <c r="F26" s="51" t="s">
        <v>102</v>
      </c>
      <c r="G26" s="58" t="s">
        <v>583</v>
      </c>
      <c r="H26" s="4">
        <v>30</v>
      </c>
      <c r="I26" s="14" t="s">
        <v>620</v>
      </c>
    </row>
    <row r="27" spans="1:9" s="14" customFormat="1" ht="63.75" customHeight="1">
      <c r="A27" s="66"/>
      <c r="B27" s="68" t="s">
        <v>47</v>
      </c>
      <c r="C27" s="46">
        <f t="shared" si="0"/>
        <v>24</v>
      </c>
      <c r="D27" s="47" t="s">
        <v>73</v>
      </c>
      <c r="E27" s="47" t="s">
        <v>575</v>
      </c>
      <c r="F27" s="48" t="s">
        <v>100</v>
      </c>
      <c r="G27" s="57" t="s">
        <v>578</v>
      </c>
      <c r="H27" s="4">
        <v>60</v>
      </c>
      <c r="I27" s="14" t="s">
        <v>616</v>
      </c>
    </row>
    <row r="28" spans="1:9" s="14" customFormat="1" ht="63.75" customHeight="1">
      <c r="A28" s="66"/>
      <c r="B28" s="69"/>
      <c r="C28" s="49">
        <f t="shared" si="0"/>
        <v>25</v>
      </c>
      <c r="D28" s="50" t="s">
        <v>50</v>
      </c>
      <c r="E28" s="50" t="s">
        <v>576</v>
      </c>
      <c r="F28" s="51" t="s">
        <v>100</v>
      </c>
      <c r="G28" s="58" t="s">
        <v>579</v>
      </c>
      <c r="H28" s="4">
        <v>40</v>
      </c>
      <c r="I28" s="14" t="s">
        <v>616</v>
      </c>
    </row>
    <row r="29" spans="1:9" s="14" customFormat="1" ht="63.75" customHeight="1">
      <c r="A29" s="66"/>
      <c r="B29" s="68" t="s">
        <v>72</v>
      </c>
      <c r="C29" s="46">
        <f>C28+1</f>
        <v>26</v>
      </c>
      <c r="D29" s="47" t="s">
        <v>27</v>
      </c>
      <c r="E29" s="47" t="s">
        <v>28</v>
      </c>
      <c r="F29" s="48" t="s">
        <v>101</v>
      </c>
      <c r="G29" s="57" t="s">
        <v>29</v>
      </c>
      <c r="H29" s="4">
        <v>30</v>
      </c>
      <c r="I29" s="14" t="s">
        <v>616</v>
      </c>
    </row>
    <row r="30" spans="1:9" s="14" customFormat="1" ht="63.75" customHeight="1">
      <c r="A30" s="66"/>
      <c r="B30" s="69"/>
      <c r="C30" s="49">
        <f t="shared" si="0"/>
        <v>27</v>
      </c>
      <c r="D30" s="50" t="s">
        <v>545</v>
      </c>
      <c r="E30" s="50" t="s">
        <v>30</v>
      </c>
      <c r="F30" s="51" t="s">
        <v>102</v>
      </c>
      <c r="G30" s="58" t="s">
        <v>31</v>
      </c>
      <c r="H30" s="4">
        <v>30</v>
      </c>
      <c r="I30" s="14" t="s">
        <v>620</v>
      </c>
    </row>
    <row r="31" spans="1:9" s="14" customFormat="1" ht="63.75" customHeight="1">
      <c r="A31" s="66"/>
      <c r="B31" s="52" t="s">
        <v>42</v>
      </c>
      <c r="C31" s="53">
        <f t="shared" si="0"/>
        <v>28</v>
      </c>
      <c r="D31" s="54" t="s">
        <v>32</v>
      </c>
      <c r="E31" s="54" t="s">
        <v>33</v>
      </c>
      <c r="F31" s="55" t="s">
        <v>102</v>
      </c>
      <c r="G31" s="59" t="s">
        <v>34</v>
      </c>
      <c r="H31" s="4"/>
      <c r="I31" s="14" t="s">
        <v>620</v>
      </c>
    </row>
    <row r="32" spans="1:9" s="14" customFormat="1" ht="63.75" customHeight="1">
      <c r="A32" s="66" t="s">
        <v>598</v>
      </c>
      <c r="B32" s="52" t="s">
        <v>53</v>
      </c>
      <c r="C32" s="53">
        <f t="shared" si="0"/>
        <v>29</v>
      </c>
      <c r="D32" s="54" t="s">
        <v>65</v>
      </c>
      <c r="E32" s="54" t="s">
        <v>610</v>
      </c>
      <c r="F32" s="55" t="s">
        <v>100</v>
      </c>
      <c r="G32" s="59" t="s">
        <v>0</v>
      </c>
      <c r="H32" s="4">
        <v>100</v>
      </c>
      <c r="I32" s="14" t="s">
        <v>616</v>
      </c>
    </row>
    <row r="33" spans="1:9" s="14" customFormat="1" ht="63.75" customHeight="1">
      <c r="A33" s="66"/>
      <c r="B33" s="52" t="s">
        <v>117</v>
      </c>
      <c r="C33" s="53">
        <f t="shared" si="0"/>
        <v>30</v>
      </c>
      <c r="D33" s="54" t="s">
        <v>585</v>
      </c>
      <c r="E33" s="54" t="s">
        <v>586</v>
      </c>
      <c r="F33" s="55" t="s">
        <v>101</v>
      </c>
      <c r="G33" s="59" t="s">
        <v>587</v>
      </c>
      <c r="H33" s="4">
        <v>100</v>
      </c>
      <c r="I33" s="14" t="s">
        <v>616</v>
      </c>
    </row>
    <row r="34" spans="1:9" s="14" customFormat="1" ht="63.75" customHeight="1">
      <c r="A34" s="66"/>
      <c r="B34" s="68" t="s">
        <v>68</v>
      </c>
      <c r="C34" s="46">
        <f t="shared" si="0"/>
        <v>31</v>
      </c>
      <c r="D34" s="47" t="s">
        <v>4</v>
      </c>
      <c r="E34" s="47" t="s">
        <v>38</v>
      </c>
      <c r="F34" s="48" t="s">
        <v>100</v>
      </c>
      <c r="G34" s="57" t="s">
        <v>5</v>
      </c>
      <c r="H34" s="4">
        <v>40</v>
      </c>
      <c r="I34" s="21" t="s">
        <v>621</v>
      </c>
    </row>
    <row r="35" spans="1:9" s="14" customFormat="1" ht="63.75" customHeight="1">
      <c r="A35" s="66"/>
      <c r="B35" s="69"/>
      <c r="C35" s="49">
        <f t="shared" si="0"/>
        <v>32</v>
      </c>
      <c r="D35" s="50" t="s">
        <v>74</v>
      </c>
      <c r="E35" s="50" t="s">
        <v>8</v>
      </c>
      <c r="F35" s="51" t="s">
        <v>101</v>
      </c>
      <c r="G35" s="58" t="s">
        <v>9</v>
      </c>
      <c r="H35" s="4">
        <v>10</v>
      </c>
      <c r="I35" s="14" t="s">
        <v>614</v>
      </c>
    </row>
    <row r="36" spans="1:9" s="14" customFormat="1" ht="63.75" customHeight="1">
      <c r="A36" s="66" t="s">
        <v>41</v>
      </c>
      <c r="B36" s="68" t="s">
        <v>61</v>
      </c>
      <c r="C36" s="46">
        <f t="shared" si="0"/>
        <v>33</v>
      </c>
      <c r="D36" s="47" t="s">
        <v>62</v>
      </c>
      <c r="E36" s="47" t="s">
        <v>90</v>
      </c>
      <c r="F36" s="48" t="s">
        <v>102</v>
      </c>
      <c r="G36" s="57" t="s">
        <v>91</v>
      </c>
      <c r="H36" s="4">
        <v>10</v>
      </c>
      <c r="I36" s="14" t="s">
        <v>620</v>
      </c>
    </row>
    <row r="37" spans="1:9" s="14" customFormat="1" ht="63.75" customHeight="1">
      <c r="A37" s="66"/>
      <c r="B37" s="69"/>
      <c r="C37" s="49">
        <f t="shared" si="0"/>
        <v>34</v>
      </c>
      <c r="D37" s="50" t="s">
        <v>22</v>
      </c>
      <c r="E37" s="50" t="s">
        <v>23</v>
      </c>
      <c r="F37" s="51" t="s">
        <v>102</v>
      </c>
      <c r="G37" s="58" t="s">
        <v>24</v>
      </c>
      <c r="H37" s="4">
        <v>10</v>
      </c>
      <c r="I37" s="14" t="s">
        <v>620</v>
      </c>
    </row>
    <row r="38" spans="1:9" s="14" customFormat="1" ht="63.75" customHeight="1">
      <c r="A38" s="66" t="s">
        <v>57</v>
      </c>
      <c r="B38" s="52" t="s">
        <v>150</v>
      </c>
      <c r="C38" s="53">
        <f t="shared" si="0"/>
        <v>35</v>
      </c>
      <c r="D38" s="54" t="s">
        <v>58</v>
      </c>
      <c r="E38" s="54" t="s">
        <v>88</v>
      </c>
      <c r="F38" s="55" t="s">
        <v>100</v>
      </c>
      <c r="G38" s="59" t="s">
        <v>86</v>
      </c>
      <c r="H38" s="4">
        <v>100</v>
      </c>
      <c r="I38" s="14" t="s">
        <v>617</v>
      </c>
    </row>
    <row r="39" spans="1:9" s="14" customFormat="1" ht="63.75" customHeight="1">
      <c r="A39" s="66"/>
      <c r="B39" s="68" t="s">
        <v>59</v>
      </c>
      <c r="C39" s="46">
        <f t="shared" si="0"/>
        <v>36</v>
      </c>
      <c r="D39" s="47" t="s">
        <v>588</v>
      </c>
      <c r="E39" s="47" t="s">
        <v>75</v>
      </c>
      <c r="F39" s="48" t="s">
        <v>100</v>
      </c>
      <c r="G39" s="57" t="s">
        <v>89</v>
      </c>
      <c r="H39" s="4">
        <v>100</v>
      </c>
      <c r="I39" s="14" t="s">
        <v>622</v>
      </c>
    </row>
    <row r="40" spans="1:9" s="14" customFormat="1" ht="63.75" customHeight="1">
      <c r="A40" s="66"/>
      <c r="B40" s="70"/>
      <c r="C40" s="34">
        <f t="shared" si="0"/>
        <v>37</v>
      </c>
      <c r="D40" s="33" t="s">
        <v>92</v>
      </c>
      <c r="E40" s="33" t="s">
        <v>99</v>
      </c>
      <c r="F40" s="32" t="s">
        <v>102</v>
      </c>
      <c r="G40" s="37" t="s">
        <v>97</v>
      </c>
      <c r="H40" s="4">
        <v>20</v>
      </c>
      <c r="I40" s="14" t="s">
        <v>620</v>
      </c>
    </row>
    <row r="41" spans="1:9" s="14" customFormat="1" ht="63.75" customHeight="1">
      <c r="A41" s="66"/>
      <c r="B41" s="69"/>
      <c r="C41" s="49">
        <f t="shared" si="0"/>
        <v>38</v>
      </c>
      <c r="D41" s="50" t="s">
        <v>76</v>
      </c>
      <c r="E41" s="50" t="s">
        <v>35</v>
      </c>
      <c r="F41" s="51" t="s">
        <v>102</v>
      </c>
      <c r="G41" s="58" t="s">
        <v>36</v>
      </c>
      <c r="H41" s="4">
        <v>40</v>
      </c>
      <c r="I41" s="14" t="s">
        <v>620</v>
      </c>
    </row>
    <row r="42" spans="1:9" s="14" customFormat="1" ht="63.75" customHeight="1">
      <c r="A42" s="66" t="s">
        <v>66</v>
      </c>
      <c r="B42" s="52" t="s">
        <v>70</v>
      </c>
      <c r="C42" s="53">
        <f t="shared" si="0"/>
        <v>39</v>
      </c>
      <c r="D42" s="54" t="s">
        <v>549</v>
      </c>
      <c r="E42" s="54" t="s">
        <v>14</v>
      </c>
      <c r="F42" s="55" t="s">
        <v>100</v>
      </c>
      <c r="G42" s="59" t="s">
        <v>15</v>
      </c>
      <c r="H42" s="4">
        <v>120</v>
      </c>
      <c r="I42" s="14" t="s">
        <v>614</v>
      </c>
    </row>
    <row r="43" spans="1:9" s="14" customFormat="1" ht="63.75" customHeight="1">
      <c r="A43" s="66"/>
      <c r="B43" s="52" t="s">
        <v>67</v>
      </c>
      <c r="C43" s="53">
        <f>C42+1</f>
        <v>40</v>
      </c>
      <c r="D43" s="54" t="s">
        <v>1</v>
      </c>
      <c r="E43" s="54" t="s">
        <v>2</v>
      </c>
      <c r="F43" s="55" t="s">
        <v>100</v>
      </c>
      <c r="G43" s="59" t="s">
        <v>3</v>
      </c>
      <c r="H43" s="4">
        <v>100</v>
      </c>
      <c r="I43" s="14" t="s">
        <v>619</v>
      </c>
    </row>
    <row r="44" spans="1:9" s="14" customFormat="1" ht="63.75" customHeight="1">
      <c r="A44" s="66"/>
      <c r="B44" s="68" t="s">
        <v>77</v>
      </c>
      <c r="C44" s="46">
        <f t="shared" si="0"/>
        <v>41</v>
      </c>
      <c r="D44" s="47" t="s">
        <v>81</v>
      </c>
      <c r="E44" s="56" t="s">
        <v>83</v>
      </c>
      <c r="F44" s="48" t="s">
        <v>100</v>
      </c>
      <c r="G44" s="57" t="s">
        <v>82</v>
      </c>
      <c r="H44" s="4">
        <v>600</v>
      </c>
      <c r="I44" s="14" t="s">
        <v>618</v>
      </c>
    </row>
    <row r="45" spans="1:9" s="14" customFormat="1" ht="63.75" customHeight="1" thickBot="1">
      <c r="A45" s="67"/>
      <c r="B45" s="71"/>
      <c r="C45" s="38">
        <f t="shared" si="0"/>
        <v>42</v>
      </c>
      <c r="D45" s="39" t="s">
        <v>80</v>
      </c>
      <c r="E45" s="40" t="s">
        <v>78</v>
      </c>
      <c r="F45" s="41" t="s">
        <v>102</v>
      </c>
      <c r="G45" s="42" t="s">
        <v>79</v>
      </c>
      <c r="H45" s="4"/>
      <c r="I45" s="14" t="s">
        <v>620</v>
      </c>
    </row>
    <row r="46" spans="1:8" s="14" customFormat="1" ht="15.75" customHeight="1">
      <c r="A46" s="26"/>
      <c r="B46" s="27"/>
      <c r="C46" s="27"/>
      <c r="D46" s="27"/>
      <c r="E46" s="27"/>
      <c r="F46" s="26"/>
      <c r="G46" s="27"/>
      <c r="H46" s="4"/>
    </row>
    <row r="47" spans="1:8" ht="12.75">
      <c r="A47" s="29"/>
      <c r="B47" s="31"/>
      <c r="C47" s="31"/>
      <c r="D47" s="30"/>
      <c r="E47" s="28"/>
      <c r="F47" s="29"/>
      <c r="G47" s="31" t="s">
        <v>407</v>
      </c>
      <c r="H47" s="13">
        <f>SUM(H2:H46)</f>
        <v>2850</v>
      </c>
    </row>
    <row r="49" spans="1:4" ht="12.75">
      <c r="A49" s="15"/>
      <c r="B49" s="15"/>
      <c r="C49" s="15"/>
      <c r="D49" s="25" t="s">
        <v>551</v>
      </c>
    </row>
  </sheetData>
  <mergeCells count="18">
    <mergeCell ref="A2:G2"/>
    <mergeCell ref="A3:B3"/>
    <mergeCell ref="B4:B9"/>
    <mergeCell ref="B11:B13"/>
    <mergeCell ref="B14:B20"/>
    <mergeCell ref="A4:A31"/>
    <mergeCell ref="B21:B24"/>
    <mergeCell ref="B25:B26"/>
    <mergeCell ref="B27:B28"/>
    <mergeCell ref="B29:B30"/>
    <mergeCell ref="B34:B35"/>
    <mergeCell ref="B36:B37"/>
    <mergeCell ref="B39:B41"/>
    <mergeCell ref="B44:B45"/>
    <mergeCell ref="A42:A45"/>
    <mergeCell ref="A38:A41"/>
    <mergeCell ref="A36:A37"/>
    <mergeCell ref="A32:A3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Lindsay Wizinowich</dc:creator>
  <cp:keywords/>
  <dc:description/>
  <cp:lastModifiedBy>Peter Lindsay Wizinowich</cp:lastModifiedBy>
  <cp:lastPrinted>2006-05-09T00:17:43Z</cp:lastPrinted>
  <dcterms:created xsi:type="dcterms:W3CDTF">2006-04-28T13:06:47Z</dcterms:created>
  <dcterms:modified xsi:type="dcterms:W3CDTF">2006-07-26T20:35:25Z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1493198139</vt:i4>
  </property>
  <property fmtid="{D5CDD505-2E9C-101B-9397-08002B2CF9AE}" pid="3" name="_EmailSubject">
    <vt:lpwstr>app 16 (or is it now 17) question</vt:lpwstr>
  </property>
  <property fmtid="{D5CDD505-2E9C-101B-9397-08002B2CF9AE}" pid="4" name="_AuthorEmail">
    <vt:lpwstr>peterw@keck.hawaii.edu</vt:lpwstr>
  </property>
  <property fmtid="{D5CDD505-2E9C-101B-9397-08002B2CF9AE}" pid="5" name="_AuthorEmailDisplayName">
    <vt:lpwstr>Peter Wizinowich</vt:lpwstr>
  </property>
</Properties>
</file>