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Trans3plus1" sheetId="1" r:id="rId1"/>
    <sheet name="RMSwfe3plus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<sst xmlns="http://schemas.openxmlformats.org/spreadsheetml/2006/main" count="205" uniqueCount="96">
  <si>
    <t>Element Name</t>
  </si>
  <si>
    <t>Number of Surfaces</t>
  </si>
  <si>
    <t>Transmission</t>
  </si>
  <si>
    <t>Comments</t>
  </si>
  <si>
    <t>Laser Enc. Cent Mirror</t>
  </si>
  <si>
    <t>Laser Enc. Point Mirror</t>
  </si>
  <si>
    <t>Relay Lens 1</t>
  </si>
  <si>
    <t>Relay Lens 2</t>
  </si>
  <si>
    <t>Relay Lens 3</t>
  </si>
  <si>
    <t>Mirror inside Laser Enclosure</t>
  </si>
  <si>
    <t xml:space="preserve">May not need </t>
  </si>
  <si>
    <t>Top Ring Cent. Mirror</t>
  </si>
  <si>
    <t>Top Ring Point. Mirror</t>
  </si>
  <si>
    <t xml:space="preserve"> </t>
  </si>
  <si>
    <t>Located at top of Telescope tube (Just outside Secondary Support Structure</t>
  </si>
  <si>
    <t>Sec. Socket Cent. Mirror</t>
  </si>
  <si>
    <t>Sec. Socket Point. Mirror</t>
  </si>
  <si>
    <t>Located inside secondary socket</t>
  </si>
  <si>
    <t>1/4 Wave Plate</t>
  </si>
  <si>
    <t>Launch Tel. Secondary</t>
  </si>
  <si>
    <t>Launch Tel. Primary</t>
  </si>
  <si>
    <t>Launch Tel. Output Win.</t>
  </si>
  <si>
    <t>Launch Tel. Input Win.</t>
  </si>
  <si>
    <t>Power lost in sec. obstruction of launch telescope 4.5%</t>
  </si>
  <si>
    <t>r0</t>
  </si>
  <si>
    <t>Reflec./Trans. per Surface</t>
  </si>
  <si>
    <t>K Mirror assembly</t>
  </si>
  <si>
    <t>Beam Expander Telescope (Mag. Increase)</t>
  </si>
  <si>
    <t>Astr. Gen. B.S. 1</t>
  </si>
  <si>
    <t>Represents loss in beam splitter (50/50 splitter)</t>
  </si>
  <si>
    <t>LGS Beam Transport System</t>
  </si>
  <si>
    <t>Power Lost at LLT Sec. Obs.</t>
  </si>
  <si>
    <t>% Cont.</t>
  </si>
  <si>
    <t>3 lenses, each 2 surfaces</t>
  </si>
  <si>
    <t>RMS WFE (nm)</t>
  </si>
  <si>
    <t>Launch Tel. Tertiary</t>
  </si>
  <si>
    <t>TOTAL Transmission loss</t>
  </si>
  <si>
    <t xml:space="preserve">Transmission Budget for full optical path (3+1) Science LGS </t>
  </si>
  <si>
    <t>Sergey's number for KI LGS LLT optical surface transmission 0.936</t>
  </si>
  <si>
    <t>Astr. Gen. Mirror 1</t>
  </si>
  <si>
    <t>Astr. Gen. Mirror 2</t>
  </si>
  <si>
    <t>Astr. Gen. Mirror 3</t>
  </si>
  <si>
    <t>Astr. Gen. Mirror 4</t>
  </si>
  <si>
    <t>Astr. Gen. Mirror 5</t>
  </si>
  <si>
    <t>Astr. Gen. Mirror 6</t>
  </si>
  <si>
    <t>Astr. Gen. Mirror 7</t>
  </si>
  <si>
    <t>Astr. Gen. Mirror 8</t>
  </si>
  <si>
    <t xml:space="preserve">Error budget estimate = sqrt(sumsq(E34:E:38)) </t>
  </si>
  <si>
    <t>Optical component contribution to RMS WFE</t>
  </si>
  <si>
    <t>Assuming Median (Check 75%,25% cases)</t>
  </si>
  <si>
    <t>radian^2</t>
  </si>
  <si>
    <t>m</t>
  </si>
  <si>
    <t xml:space="preserve">m (at 500 nm) </t>
  </si>
  <si>
    <t>m (at 589 nm)</t>
  </si>
  <si>
    <t>Laser Launch Tel 1/e2 diam</t>
  </si>
  <si>
    <t>WFE (nm)</t>
  </si>
  <si>
    <t>RMS WFE (radians)</t>
  </si>
  <si>
    <t>Total RMS WFE (nm)</t>
  </si>
  <si>
    <t>Total Strehl</t>
  </si>
  <si>
    <t>Laser Unit contribution to RMS WFE</t>
  </si>
  <si>
    <t>nm</t>
  </si>
  <si>
    <t>RMS WFE</t>
  </si>
  <si>
    <t>r0 =50%</t>
  </si>
  <si>
    <t>Use 1/e2 and full diameter of launch telescope</t>
  </si>
  <si>
    <t>Closest Na layer distance 90 km -4.1 km</t>
  </si>
  <si>
    <t>Beam at Na layer is M^2 times diffraction limited</t>
  </si>
  <si>
    <t>(FWHM) Spot size at Na layer (arc seconds)</t>
  </si>
  <si>
    <t>1/e2  (m)</t>
  </si>
  <si>
    <t>FWHM = 0.59*1/e2 (m)</t>
  </si>
  <si>
    <t>Should use resided Noll for gaussian beam or Fresnel propagation</t>
  </si>
  <si>
    <t xml:space="preserve">RMS Wavefront error budget for full optical path (3+1) Science LGS </t>
  </si>
  <si>
    <t>Noll residual (Noll 1976)</t>
  </si>
  <si>
    <t>minimum range to Na layer (m)</t>
  </si>
  <si>
    <t xml:space="preserve">Spec from Dekany </t>
  </si>
  <si>
    <t>Key Assumption: Ion Beam Coating losses 0.1% reflection and 1% transmission</t>
  </si>
  <si>
    <t>Per Optic</t>
  </si>
  <si>
    <t>Assume that LGS WFS fast frame rate so no residual tip/tilt blurring</t>
  </si>
  <si>
    <t>arc sec</t>
  </si>
  <si>
    <t>This number is the goal from higher level NGAO error budgets</t>
  </si>
  <si>
    <t>Mirror inside Laser Enclosure (lambda/20 PV -&gt; lambda/100 rms)</t>
  </si>
  <si>
    <t>Atmospheric Contribution</t>
  </si>
  <si>
    <t>Located at top of Telescope tube (Just outside top ring)</t>
  </si>
  <si>
    <t xml:space="preserve">Error budget estimate = PROD(E34:E:38) </t>
  </si>
  <si>
    <t>Don’t quiet meet requirement,  Also had to assume very good coatings and cleanliness of beam train.</t>
  </si>
  <si>
    <t>Number for KI LGS LLT optical RMS WFE~60 nm</t>
  </si>
  <si>
    <t>87.5% (excellent)</t>
  </si>
  <si>
    <t>37.5% (Challenging)</t>
  </si>
  <si>
    <t>Based on ESO requirement for Laser Units</t>
  </si>
  <si>
    <t>Final number</t>
  </si>
  <si>
    <t>r0 =87.5%</t>
  </si>
  <si>
    <t>r0 =37.5%</t>
  </si>
  <si>
    <t xml:space="preserve">Use Noll residual for tip-tilt removed wavefront error, include focus, astig., coma, spheric., etc. </t>
  </si>
  <si>
    <t>Uplink atmospheric component is seeing depended</t>
  </si>
  <si>
    <t>total M^2 (~1/sqrt(Strehl) )</t>
  </si>
  <si>
    <t>Assumes beam is still ~ gaussian</t>
  </si>
  <si>
    <t>(FWHM) Spot size at Na layer (arc seconds) source Dekany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</si>
</sst>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165" fontId="0" fillId="0" borderId="0" xfId="0" applyNumberFormat="1" applyAlignment="1">
      <alignment/>
    </xf>
    <xf numFmtId="165" fontId="0" fillId="2" borderId="0" xfId="0" applyNumberForma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2" fontId="0" fillId="0" borderId="0" xfId="0" applyNumberForma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165" fontId="0" fillId="3" borderId="0" xfId="0" applyNumberFormat="1" applyFill="1" applyAlignment="1">
      <alignment/>
    </xf>
    <xf numFmtId="165" fontId="0" fillId="4" borderId="0" xfId="0" applyNumberFormat="1" applyFill="1" applyAlignment="1">
      <alignment/>
    </xf>
    <xf numFmtId="0" fontId="0" fillId="5" borderId="0" xfId="0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2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43"/>
  <sheetViews>
    <sheetView tabSelected="1" workbookViewId="0" topLeftCell="A5">
      <selection activeCell="G12" sqref="G12"/>
    </sheetView>
  </sheetViews>
  <sheetFormatPr defaultColWidth="9.140625" defaultRowHeight="12.75"/>
  <cols>
    <col min="2" max="2" width="25.8515625" style="0" customWidth="1"/>
    <col min="3" max="3" width="20.7109375" style="0" customWidth="1"/>
    <col min="4" max="4" width="24.28125" style="1" customWidth="1"/>
    <col min="5" max="5" width="16.421875" style="0" customWidth="1"/>
    <col min="6" max="6" width="8.421875" style="0" customWidth="1"/>
    <col min="7" max="7" width="55.421875" style="0" customWidth="1"/>
  </cols>
  <sheetData>
    <row r="2" ht="15">
      <c r="B2" s="7" t="s">
        <v>30</v>
      </c>
    </row>
    <row r="3" spans="2:5" ht="12.75">
      <c r="B3" s="6" t="s">
        <v>37</v>
      </c>
      <c r="E3" s="6" t="s">
        <v>74</v>
      </c>
    </row>
    <row r="5" spans="2:7" ht="12.75">
      <c r="B5" s="6" t="s">
        <v>0</v>
      </c>
      <c r="C5" s="6" t="s">
        <v>1</v>
      </c>
      <c r="D5" s="8" t="s">
        <v>25</v>
      </c>
      <c r="E5" s="6" t="s">
        <v>2</v>
      </c>
      <c r="F5" s="6" t="s">
        <v>32</v>
      </c>
      <c r="G5" s="6" t="s">
        <v>3</v>
      </c>
    </row>
    <row r="6" ht="12.75">
      <c r="F6" t="s">
        <v>13</v>
      </c>
    </row>
    <row r="7" spans="2:7" ht="12.75">
      <c r="B7" s="6" t="s">
        <v>4</v>
      </c>
      <c r="C7">
        <v>1</v>
      </c>
      <c r="D7" s="1">
        <v>0.999</v>
      </c>
      <c r="E7" s="4">
        <f aca="true" t="shared" si="0" ref="E7:E14">D7^(C7)</f>
        <v>0.999</v>
      </c>
      <c r="F7" s="10">
        <f aca="true" t="shared" si="1" ref="F7:F15">(E$41/E7-E$41)*100</f>
        <v>0.07458657397736435</v>
      </c>
      <c r="G7" t="s">
        <v>9</v>
      </c>
    </row>
    <row r="8" spans="2:7" ht="12.75">
      <c r="B8" s="6" t="s">
        <v>5</v>
      </c>
      <c r="C8">
        <v>1</v>
      </c>
      <c r="D8" s="1">
        <v>0.999</v>
      </c>
      <c r="E8" s="4">
        <f t="shared" si="0"/>
        <v>0.999</v>
      </c>
      <c r="F8" s="10">
        <f t="shared" si="1"/>
        <v>0.07458657397736435</v>
      </c>
      <c r="G8" t="s">
        <v>9</v>
      </c>
    </row>
    <row r="9" spans="2:7" ht="12.75">
      <c r="B9" s="6" t="s">
        <v>6</v>
      </c>
      <c r="C9">
        <v>2</v>
      </c>
      <c r="D9" s="1">
        <v>0.99</v>
      </c>
      <c r="E9" s="4">
        <f t="shared" si="0"/>
        <v>0.9801</v>
      </c>
      <c r="F9" s="10">
        <f t="shared" si="1"/>
        <v>1.512895163072614</v>
      </c>
      <c r="G9" t="s">
        <v>10</v>
      </c>
    </row>
    <row r="10" spans="2:7" ht="12.75">
      <c r="B10" s="6" t="s">
        <v>7</v>
      </c>
      <c r="C10">
        <v>2</v>
      </c>
      <c r="D10" s="1">
        <v>0.99</v>
      </c>
      <c r="E10" s="4">
        <f t="shared" si="0"/>
        <v>0.9801</v>
      </c>
      <c r="F10" s="10">
        <f t="shared" si="1"/>
        <v>1.512895163072614</v>
      </c>
      <c r="G10" t="s">
        <v>10</v>
      </c>
    </row>
    <row r="11" spans="2:7" ht="12.75">
      <c r="B11" s="6" t="s">
        <v>8</v>
      </c>
      <c r="C11">
        <v>2</v>
      </c>
      <c r="D11" s="1">
        <v>0.99</v>
      </c>
      <c r="E11" s="4">
        <f t="shared" si="0"/>
        <v>0.9801</v>
      </c>
      <c r="F11" s="10">
        <f t="shared" si="1"/>
        <v>1.512895163072614</v>
      </c>
      <c r="G11" t="s">
        <v>10</v>
      </c>
    </row>
    <row r="12" spans="2:7" ht="12.75">
      <c r="B12" s="6" t="s">
        <v>11</v>
      </c>
      <c r="C12">
        <v>1</v>
      </c>
      <c r="D12" s="1">
        <v>0.999</v>
      </c>
      <c r="E12" s="4">
        <f t="shared" si="0"/>
        <v>0.999</v>
      </c>
      <c r="F12" s="10">
        <f t="shared" si="1"/>
        <v>0.07458657397736435</v>
      </c>
      <c r="G12" t="s">
        <v>81</v>
      </c>
    </row>
    <row r="13" spans="2:7" ht="12.75">
      <c r="B13" s="6" t="s">
        <v>12</v>
      </c>
      <c r="C13">
        <v>1</v>
      </c>
      <c r="D13" s="1">
        <v>0.999</v>
      </c>
      <c r="E13" s="4">
        <f t="shared" si="0"/>
        <v>0.999</v>
      </c>
      <c r="F13" s="10">
        <f t="shared" si="1"/>
        <v>0.07458657397736435</v>
      </c>
      <c r="G13" t="s">
        <v>14</v>
      </c>
    </row>
    <row r="14" spans="2:7" ht="12.75">
      <c r="B14" s="6" t="s">
        <v>16</v>
      </c>
      <c r="C14">
        <v>1</v>
      </c>
      <c r="D14" s="1">
        <v>0.999</v>
      </c>
      <c r="E14" s="4">
        <f t="shared" si="0"/>
        <v>0.999</v>
      </c>
      <c r="F14" s="10">
        <f t="shared" si="1"/>
        <v>0.07458657397736435</v>
      </c>
      <c r="G14" t="s">
        <v>17</v>
      </c>
    </row>
    <row r="15" spans="2:7" ht="12.75">
      <c r="B15" s="6" t="s">
        <v>15</v>
      </c>
      <c r="C15">
        <v>1</v>
      </c>
      <c r="D15" s="1">
        <v>0.999</v>
      </c>
      <c r="E15" s="4">
        <f>D15^(C15)</f>
        <v>0.999</v>
      </c>
      <c r="F15" s="10">
        <f t="shared" si="1"/>
        <v>0.07458657397736435</v>
      </c>
      <c r="G15" t="s">
        <v>17</v>
      </c>
    </row>
    <row r="16" spans="2:6" ht="12.75">
      <c r="B16" s="6"/>
      <c r="E16" s="4"/>
      <c r="F16" s="10" t="s">
        <v>13</v>
      </c>
    </row>
    <row r="17" spans="2:6" ht="12.75">
      <c r="B17" s="6" t="s">
        <v>18</v>
      </c>
      <c r="C17">
        <v>2</v>
      </c>
      <c r="D17" s="1">
        <v>0.99</v>
      </c>
      <c r="E17" s="4">
        <f>D17^(C17)</f>
        <v>0.9801</v>
      </c>
      <c r="F17" s="10">
        <f>(E$41/E17-E$41)*100</f>
        <v>1.512895163072614</v>
      </c>
    </row>
    <row r="18" spans="2:6" ht="12.75">
      <c r="B18" s="6"/>
      <c r="E18" s="4" t="s">
        <v>13</v>
      </c>
      <c r="F18" s="10" t="s">
        <v>13</v>
      </c>
    </row>
    <row r="19" spans="2:7" ht="12.75">
      <c r="B19" s="6" t="s">
        <v>28</v>
      </c>
      <c r="C19">
        <v>2</v>
      </c>
      <c r="D19" s="1">
        <v>0.99</v>
      </c>
      <c r="E19" s="4">
        <f aca="true" t="shared" si="2" ref="E19:E27">D19^(C19)</f>
        <v>0.9801</v>
      </c>
      <c r="F19" s="10">
        <f aca="true" t="shared" si="3" ref="F19:F27">(E$41/E19-E$41)*100</f>
        <v>1.512895163072614</v>
      </c>
      <c r="G19" t="s">
        <v>29</v>
      </c>
    </row>
    <row r="20" spans="2:6" ht="12.75">
      <c r="B20" s="6" t="s">
        <v>39</v>
      </c>
      <c r="C20">
        <v>1</v>
      </c>
      <c r="D20" s="1">
        <v>0.999</v>
      </c>
      <c r="E20" s="4">
        <f t="shared" si="2"/>
        <v>0.999</v>
      </c>
      <c r="F20" s="10">
        <f t="shared" si="3"/>
        <v>0.07458657397736435</v>
      </c>
    </row>
    <row r="21" spans="2:6" ht="12.75">
      <c r="B21" s="6" t="s">
        <v>40</v>
      </c>
      <c r="C21">
        <v>1</v>
      </c>
      <c r="D21" s="1">
        <v>0.999</v>
      </c>
      <c r="E21" s="4">
        <f t="shared" si="2"/>
        <v>0.999</v>
      </c>
      <c r="F21" s="10">
        <f t="shared" si="3"/>
        <v>0.07458657397736435</v>
      </c>
    </row>
    <row r="22" spans="2:6" ht="12.75">
      <c r="B22" s="6" t="s">
        <v>41</v>
      </c>
      <c r="C22">
        <v>1</v>
      </c>
      <c r="D22" s="1">
        <v>0.999</v>
      </c>
      <c r="E22" s="4">
        <f t="shared" si="2"/>
        <v>0.999</v>
      </c>
      <c r="F22" s="10">
        <f t="shared" si="3"/>
        <v>0.07458657397736435</v>
      </c>
    </row>
    <row r="23" spans="2:6" ht="12.75">
      <c r="B23" s="6" t="s">
        <v>42</v>
      </c>
      <c r="C23">
        <v>1</v>
      </c>
      <c r="D23" s="1">
        <v>0.999</v>
      </c>
      <c r="E23" s="4">
        <f t="shared" si="2"/>
        <v>0.999</v>
      </c>
      <c r="F23" s="10">
        <f t="shared" si="3"/>
        <v>0.07458657397736435</v>
      </c>
    </row>
    <row r="24" spans="2:6" ht="12.75">
      <c r="B24" s="6" t="s">
        <v>43</v>
      </c>
      <c r="C24">
        <v>1</v>
      </c>
      <c r="D24" s="1">
        <v>0.999</v>
      </c>
      <c r="E24" s="4">
        <f t="shared" si="2"/>
        <v>0.999</v>
      </c>
      <c r="F24" s="10">
        <f t="shared" si="3"/>
        <v>0.07458657397736435</v>
      </c>
    </row>
    <row r="25" spans="2:6" ht="12.75">
      <c r="B25" s="6" t="s">
        <v>44</v>
      </c>
      <c r="C25">
        <v>1</v>
      </c>
      <c r="D25" s="1">
        <v>0.999</v>
      </c>
      <c r="E25" s="4">
        <f t="shared" si="2"/>
        <v>0.999</v>
      </c>
      <c r="F25" s="10">
        <f t="shared" si="3"/>
        <v>0.07458657397736435</v>
      </c>
    </row>
    <row r="26" spans="2:6" ht="12.75">
      <c r="B26" s="6" t="s">
        <v>45</v>
      </c>
      <c r="C26">
        <v>1</v>
      </c>
      <c r="D26" s="1">
        <v>0.999</v>
      </c>
      <c r="E26" s="4">
        <f t="shared" si="2"/>
        <v>0.999</v>
      </c>
      <c r="F26" s="10">
        <f t="shared" si="3"/>
        <v>0.07458657397736435</v>
      </c>
    </row>
    <row r="27" spans="2:6" ht="12.75">
      <c r="B27" s="6" t="s">
        <v>46</v>
      </c>
      <c r="C27">
        <v>1</v>
      </c>
      <c r="D27" s="1">
        <v>0.999</v>
      </c>
      <c r="E27" s="4">
        <f t="shared" si="2"/>
        <v>0.999</v>
      </c>
      <c r="F27" s="10">
        <f t="shared" si="3"/>
        <v>0.07458657397736435</v>
      </c>
    </row>
    <row r="28" spans="2:6" ht="12.75">
      <c r="B28" s="6"/>
      <c r="E28" s="4"/>
      <c r="F28" s="10" t="s">
        <v>13</v>
      </c>
    </row>
    <row r="29" spans="2:6" ht="12.75">
      <c r="B29" s="6" t="s">
        <v>26</v>
      </c>
      <c r="C29">
        <v>3</v>
      </c>
      <c r="D29" s="1">
        <v>0.999</v>
      </c>
      <c r="E29" s="4">
        <f>D29^(C29)</f>
        <v>0.997002999</v>
      </c>
      <c r="F29" s="10">
        <f>(E$41/E29-E$41)*100</f>
        <v>0.22398378037371547</v>
      </c>
    </row>
    <row r="30" spans="2:6" ht="12.75">
      <c r="B30" s="6" t="s">
        <v>13</v>
      </c>
      <c r="C30" t="s">
        <v>13</v>
      </c>
      <c r="D30" s="1" t="s">
        <v>13</v>
      </c>
      <c r="E30" s="4" t="s">
        <v>13</v>
      </c>
      <c r="F30" s="10" t="s">
        <v>13</v>
      </c>
    </row>
    <row r="31" spans="2:7" ht="25.5">
      <c r="B31" s="9" t="s">
        <v>27</v>
      </c>
      <c r="C31">
        <v>6</v>
      </c>
      <c r="D31" s="1">
        <v>0.99</v>
      </c>
      <c r="E31" s="4">
        <f>D31^(C31)</f>
        <v>0.9414801494009999</v>
      </c>
      <c r="F31" s="10">
        <f>(E$41/E31-E$41)*100</f>
        <v>4.63146288687577</v>
      </c>
      <c r="G31" t="s">
        <v>33</v>
      </c>
    </row>
    <row r="32" spans="2:6" ht="12.75">
      <c r="B32" s="6" t="s">
        <v>13</v>
      </c>
      <c r="C32" t="s">
        <v>13</v>
      </c>
      <c r="D32" s="1" t="s">
        <v>13</v>
      </c>
      <c r="E32" s="4" t="s">
        <v>13</v>
      </c>
      <c r="F32" s="10" t="s">
        <v>13</v>
      </c>
    </row>
    <row r="33" spans="2:6" ht="12.75">
      <c r="B33" s="6" t="s">
        <v>22</v>
      </c>
      <c r="C33">
        <v>2</v>
      </c>
      <c r="D33" s="1">
        <v>0.99</v>
      </c>
      <c r="E33" s="4">
        <f>D33^(C33)</f>
        <v>0.9801</v>
      </c>
      <c r="F33" s="10">
        <f>(E$41/E33-E$41)*100</f>
        <v>1.512895163072614</v>
      </c>
    </row>
    <row r="34" spans="2:6" ht="12.75">
      <c r="B34" s="6" t="s">
        <v>19</v>
      </c>
      <c r="C34">
        <v>1</v>
      </c>
      <c r="D34" s="1">
        <v>0.99</v>
      </c>
      <c r="E34" s="4">
        <f>D34^(C34)</f>
        <v>0.99</v>
      </c>
      <c r="F34" s="10">
        <f>(E$41/E34-E$41)*100</f>
        <v>0.7526463374079806</v>
      </c>
    </row>
    <row r="35" spans="2:7" ht="25.5">
      <c r="B35" s="6" t="s">
        <v>19</v>
      </c>
      <c r="C35">
        <v>1</v>
      </c>
      <c r="D35" s="1">
        <v>0.99</v>
      </c>
      <c r="E35" s="4">
        <f>D35^(C35)</f>
        <v>0.99</v>
      </c>
      <c r="F35" s="10">
        <f>(E$41/E35-E$41)*100</f>
        <v>0.7526463374079806</v>
      </c>
      <c r="G35" s="18" t="s">
        <v>38</v>
      </c>
    </row>
    <row r="36" spans="2:7" ht="12.75">
      <c r="B36" s="6" t="s">
        <v>20</v>
      </c>
      <c r="C36">
        <v>1</v>
      </c>
      <c r="D36" s="1">
        <v>0.99</v>
      </c>
      <c r="E36" s="4">
        <f>D36^(C36)</f>
        <v>0.99</v>
      </c>
      <c r="F36" s="10">
        <f>(E$41/E36-E$41)*100</f>
        <v>0.7526463374079806</v>
      </c>
      <c r="G36" s="17" t="s">
        <v>82</v>
      </c>
    </row>
    <row r="37" spans="2:7" ht="12.75">
      <c r="B37" s="6" t="s">
        <v>21</v>
      </c>
      <c r="C37">
        <v>2</v>
      </c>
      <c r="D37" s="1">
        <v>0.99</v>
      </c>
      <c r="E37" s="4">
        <f>D37^(C37)</f>
        <v>0.9801</v>
      </c>
      <c r="F37" s="10">
        <f>(E$41/E37-E$41)*100</f>
        <v>1.512895163072614</v>
      </c>
      <c r="G37">
        <f>PRODUCT(E33:E37)</f>
        <v>0.9320653479069899</v>
      </c>
    </row>
    <row r="38" spans="2:6" ht="12.75">
      <c r="B38" s="6"/>
      <c r="E38" s="4"/>
      <c r="F38" s="10" t="s">
        <v>13</v>
      </c>
    </row>
    <row r="39" spans="2:7" ht="12.75">
      <c r="B39" s="6" t="s">
        <v>31</v>
      </c>
      <c r="E39" s="4">
        <v>0.955</v>
      </c>
      <c r="F39" s="10">
        <f>(E$41/E39-E$41)*100</f>
        <v>3.5110360556571463</v>
      </c>
      <c r="G39" t="s">
        <v>23</v>
      </c>
    </row>
    <row r="41" spans="2:7" ht="25.5">
      <c r="B41" t="s">
        <v>36</v>
      </c>
      <c r="E41" s="15">
        <f>PRODUCT(E7:E40)</f>
        <v>0.745119874033905</v>
      </c>
      <c r="G41" s="2" t="s">
        <v>83</v>
      </c>
    </row>
    <row r="42" ht="12.75">
      <c r="G42" t="s">
        <v>13</v>
      </c>
    </row>
    <row r="43" spans="2:7" ht="12.75">
      <c r="B43" t="s">
        <v>73</v>
      </c>
      <c r="E43" s="16">
        <v>0.75</v>
      </c>
      <c r="G43" t="s">
        <v>78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90"/>
  <sheetViews>
    <sheetView workbookViewId="0" topLeftCell="A51">
      <selection activeCell="B87" sqref="B87"/>
    </sheetView>
  </sheetViews>
  <sheetFormatPr defaultColWidth="9.140625" defaultRowHeight="12.75"/>
  <cols>
    <col min="2" max="2" width="27.28125" style="0" customWidth="1"/>
    <col min="3" max="3" width="20.7109375" style="0" customWidth="1"/>
    <col min="4" max="4" width="24.28125" style="1" customWidth="1"/>
    <col min="5" max="5" width="16.421875" style="0" customWidth="1"/>
    <col min="6" max="6" width="8.421875" style="0" customWidth="1"/>
    <col min="7" max="7" width="55.421875" style="0" customWidth="1"/>
  </cols>
  <sheetData>
    <row r="2" ht="15">
      <c r="B2" s="7" t="s">
        <v>30</v>
      </c>
    </row>
    <row r="3" ht="12.75">
      <c r="B3" s="6" t="s">
        <v>70</v>
      </c>
    </row>
    <row r="4" ht="12.75">
      <c r="G4" t="s">
        <v>13</v>
      </c>
    </row>
    <row r="5" ht="12.75">
      <c r="E5" t="s">
        <v>75</v>
      </c>
    </row>
    <row r="6" spans="2:7" ht="12.75">
      <c r="B6" s="6" t="s">
        <v>0</v>
      </c>
      <c r="C6" s="6" t="s">
        <v>1</v>
      </c>
      <c r="D6" s="8" t="s">
        <v>34</v>
      </c>
      <c r="E6" s="6" t="s">
        <v>34</v>
      </c>
      <c r="F6" s="6" t="s">
        <v>32</v>
      </c>
      <c r="G6" s="6" t="s">
        <v>3</v>
      </c>
    </row>
    <row r="7" ht="12.75">
      <c r="F7" t="s">
        <v>13</v>
      </c>
    </row>
    <row r="8" spans="2:7" ht="12.75">
      <c r="B8" s="6" t="s">
        <v>4</v>
      </c>
      <c r="C8">
        <v>1</v>
      </c>
      <c r="D8" s="1">
        <f>589/100</f>
        <v>5.89</v>
      </c>
      <c r="E8" s="4">
        <f aca="true" t="shared" si="0" ref="E8:E13">SQRT(C8*D8^2)</f>
        <v>5.89</v>
      </c>
      <c r="F8" s="10">
        <f aca="true" t="shared" si="1" ref="F8:F16">(E8/E$41)*100</f>
        <v>8.481677427008206</v>
      </c>
      <c r="G8" t="s">
        <v>79</v>
      </c>
    </row>
    <row r="9" spans="2:7" ht="12.75">
      <c r="B9" s="6" t="s">
        <v>5</v>
      </c>
      <c r="C9">
        <v>1</v>
      </c>
      <c r="D9" s="1">
        <f>589/100</f>
        <v>5.89</v>
      </c>
      <c r="E9" s="4">
        <f t="shared" si="0"/>
        <v>5.89</v>
      </c>
      <c r="F9" s="10">
        <f t="shared" si="1"/>
        <v>8.481677427008206</v>
      </c>
      <c r="G9" t="s">
        <v>9</v>
      </c>
    </row>
    <row r="10" spans="2:7" ht="12.75">
      <c r="B10" s="6" t="s">
        <v>6</v>
      </c>
      <c r="C10">
        <v>2</v>
      </c>
      <c r="D10" s="1">
        <f>589/200</f>
        <v>2.945</v>
      </c>
      <c r="E10" s="4">
        <f t="shared" si="0"/>
        <v>4.164858941188765</v>
      </c>
      <c r="F10" s="10">
        <f t="shared" si="1"/>
        <v>5.997451624474372</v>
      </c>
      <c r="G10" t="s">
        <v>10</v>
      </c>
    </row>
    <row r="11" spans="2:7" ht="12.75">
      <c r="B11" s="6" t="s">
        <v>7</v>
      </c>
      <c r="C11">
        <v>2</v>
      </c>
      <c r="D11" s="1">
        <f>589/200</f>
        <v>2.945</v>
      </c>
      <c r="E11" s="4">
        <f t="shared" si="0"/>
        <v>4.164858941188765</v>
      </c>
      <c r="F11" s="10">
        <f t="shared" si="1"/>
        <v>5.997451624474372</v>
      </c>
      <c r="G11" t="s">
        <v>10</v>
      </c>
    </row>
    <row r="12" spans="2:7" ht="12.75">
      <c r="B12" s="6" t="s">
        <v>8</v>
      </c>
      <c r="C12">
        <v>2</v>
      </c>
      <c r="D12" s="1">
        <f>589/200</f>
        <v>2.945</v>
      </c>
      <c r="E12" s="4">
        <f t="shared" si="0"/>
        <v>4.164858941188765</v>
      </c>
      <c r="F12" s="10">
        <f t="shared" si="1"/>
        <v>5.997451624474372</v>
      </c>
      <c r="G12" t="s">
        <v>10</v>
      </c>
    </row>
    <row r="13" spans="2:7" ht="12.75">
      <c r="B13" s="6" t="s">
        <v>11</v>
      </c>
      <c r="C13">
        <v>1</v>
      </c>
      <c r="D13" s="1">
        <f>589/100</f>
        <v>5.89</v>
      </c>
      <c r="E13" s="4">
        <f t="shared" si="0"/>
        <v>5.89</v>
      </c>
      <c r="F13" s="10">
        <f t="shared" si="1"/>
        <v>8.481677427008206</v>
      </c>
      <c r="G13" t="s">
        <v>81</v>
      </c>
    </row>
    <row r="14" spans="2:7" ht="12.75">
      <c r="B14" s="6" t="s">
        <v>12</v>
      </c>
      <c r="C14">
        <v>1</v>
      </c>
      <c r="D14" s="1">
        <f>589/100</f>
        <v>5.89</v>
      </c>
      <c r="E14" s="4">
        <f aca="true" t="shared" si="2" ref="E14:E38">SQRT(C14*D14^2)</f>
        <v>5.89</v>
      </c>
      <c r="F14" s="10">
        <f t="shared" si="1"/>
        <v>8.481677427008206</v>
      </c>
      <c r="G14" t="s">
        <v>14</v>
      </c>
    </row>
    <row r="15" spans="2:7" ht="12.75">
      <c r="B15" s="6" t="s">
        <v>16</v>
      </c>
      <c r="C15">
        <v>1</v>
      </c>
      <c r="D15" s="1">
        <f>589/100</f>
        <v>5.89</v>
      </c>
      <c r="E15" s="4">
        <f t="shared" si="2"/>
        <v>5.89</v>
      </c>
      <c r="F15" s="10">
        <f t="shared" si="1"/>
        <v>8.481677427008206</v>
      </c>
      <c r="G15" t="s">
        <v>17</v>
      </c>
    </row>
    <row r="16" spans="2:7" ht="12.75">
      <c r="B16" s="6" t="s">
        <v>15</v>
      </c>
      <c r="C16">
        <v>1</v>
      </c>
      <c r="D16" s="1">
        <f>589/100</f>
        <v>5.89</v>
      </c>
      <c r="E16" s="4">
        <f t="shared" si="2"/>
        <v>5.89</v>
      </c>
      <c r="F16" s="10">
        <f t="shared" si="1"/>
        <v>8.481677427008206</v>
      </c>
      <c r="G16" t="s">
        <v>17</v>
      </c>
    </row>
    <row r="17" spans="2:6" ht="12.75">
      <c r="B17" s="6"/>
      <c r="E17" s="4"/>
      <c r="F17" s="10" t="s">
        <v>13</v>
      </c>
    </row>
    <row r="18" spans="2:6" ht="12.75">
      <c r="B18" s="6" t="s">
        <v>18</v>
      </c>
      <c r="C18">
        <v>2</v>
      </c>
      <c r="D18" s="1">
        <f>589/200</f>
        <v>2.945</v>
      </c>
      <c r="E18" s="4">
        <f t="shared" si="2"/>
        <v>4.164858941188765</v>
      </c>
      <c r="F18" s="10">
        <f>(E18/E$41)*100</f>
        <v>5.997451624474372</v>
      </c>
    </row>
    <row r="19" spans="2:6" ht="12.75">
      <c r="B19" s="6"/>
      <c r="D19" s="1" t="s">
        <v>13</v>
      </c>
      <c r="E19" s="4"/>
      <c r="F19" s="10" t="s">
        <v>13</v>
      </c>
    </row>
    <row r="20" spans="2:7" ht="12.75">
      <c r="B20" s="6" t="s">
        <v>28</v>
      </c>
      <c r="C20">
        <v>2</v>
      </c>
      <c r="D20" s="1">
        <f>589/200</f>
        <v>2.945</v>
      </c>
      <c r="E20" s="4">
        <f t="shared" si="2"/>
        <v>4.164858941188765</v>
      </c>
      <c r="F20" s="10">
        <f aca="true" t="shared" si="3" ref="F20:F28">(E20/E$41)*100</f>
        <v>5.997451624474372</v>
      </c>
      <c r="G20" t="s">
        <v>29</v>
      </c>
    </row>
    <row r="21" spans="2:6" ht="12.75">
      <c r="B21" s="6" t="s">
        <v>39</v>
      </c>
      <c r="C21">
        <v>1</v>
      </c>
      <c r="D21" s="1">
        <f aca="true" t="shared" si="4" ref="D21:D30">589/100</f>
        <v>5.89</v>
      </c>
      <c r="E21" s="4">
        <f t="shared" si="2"/>
        <v>5.89</v>
      </c>
      <c r="F21" s="10">
        <f t="shared" si="3"/>
        <v>8.481677427008206</v>
      </c>
    </row>
    <row r="22" spans="2:6" ht="12.75">
      <c r="B22" s="6" t="s">
        <v>40</v>
      </c>
      <c r="C22">
        <v>1</v>
      </c>
      <c r="D22" s="1">
        <f t="shared" si="4"/>
        <v>5.89</v>
      </c>
      <c r="E22" s="4">
        <f t="shared" si="2"/>
        <v>5.89</v>
      </c>
      <c r="F22" s="10">
        <f t="shared" si="3"/>
        <v>8.481677427008206</v>
      </c>
    </row>
    <row r="23" spans="2:6" ht="12.75">
      <c r="B23" s="6" t="s">
        <v>41</v>
      </c>
      <c r="C23">
        <v>1</v>
      </c>
      <c r="D23" s="1">
        <f t="shared" si="4"/>
        <v>5.89</v>
      </c>
      <c r="E23" s="4">
        <f t="shared" si="2"/>
        <v>5.89</v>
      </c>
      <c r="F23" s="10">
        <f t="shared" si="3"/>
        <v>8.481677427008206</v>
      </c>
    </row>
    <row r="24" spans="2:6" ht="12.75">
      <c r="B24" s="6" t="s">
        <v>42</v>
      </c>
      <c r="C24">
        <v>1</v>
      </c>
      <c r="D24" s="1">
        <f t="shared" si="4"/>
        <v>5.89</v>
      </c>
      <c r="E24" s="4">
        <f t="shared" si="2"/>
        <v>5.89</v>
      </c>
      <c r="F24" s="10">
        <f t="shared" si="3"/>
        <v>8.481677427008206</v>
      </c>
    </row>
    <row r="25" spans="2:6" ht="12.75">
      <c r="B25" s="6" t="s">
        <v>43</v>
      </c>
      <c r="C25">
        <v>1</v>
      </c>
      <c r="D25" s="1">
        <f t="shared" si="4"/>
        <v>5.89</v>
      </c>
      <c r="E25" s="4">
        <f t="shared" si="2"/>
        <v>5.89</v>
      </c>
      <c r="F25" s="10">
        <f t="shared" si="3"/>
        <v>8.481677427008206</v>
      </c>
    </row>
    <row r="26" spans="2:6" ht="12.75">
      <c r="B26" s="6" t="s">
        <v>44</v>
      </c>
      <c r="C26">
        <v>1</v>
      </c>
      <c r="D26" s="1">
        <f t="shared" si="4"/>
        <v>5.89</v>
      </c>
      <c r="E26" s="4">
        <f t="shared" si="2"/>
        <v>5.89</v>
      </c>
      <c r="F26" s="10">
        <f t="shared" si="3"/>
        <v>8.481677427008206</v>
      </c>
    </row>
    <row r="27" spans="2:6" ht="12.75">
      <c r="B27" s="6" t="s">
        <v>45</v>
      </c>
      <c r="C27">
        <v>1</v>
      </c>
      <c r="D27" s="1">
        <f t="shared" si="4"/>
        <v>5.89</v>
      </c>
      <c r="E27" s="4">
        <f t="shared" si="2"/>
        <v>5.89</v>
      </c>
      <c r="F27" s="10">
        <f t="shared" si="3"/>
        <v>8.481677427008206</v>
      </c>
    </row>
    <row r="28" spans="2:6" ht="12.75">
      <c r="B28" s="6" t="s">
        <v>46</v>
      </c>
      <c r="C28">
        <v>1</v>
      </c>
      <c r="D28" s="1">
        <f t="shared" si="4"/>
        <v>5.89</v>
      </c>
      <c r="E28" s="4">
        <f t="shared" si="2"/>
        <v>5.89</v>
      </c>
      <c r="F28" s="10">
        <f t="shared" si="3"/>
        <v>8.481677427008206</v>
      </c>
    </row>
    <row r="29" spans="2:6" ht="12.75">
      <c r="B29" s="6"/>
      <c r="D29" s="1" t="s">
        <v>13</v>
      </c>
      <c r="E29" s="4"/>
      <c r="F29" s="10" t="s">
        <v>13</v>
      </c>
    </row>
    <row r="30" spans="2:6" ht="12.75">
      <c r="B30" s="6" t="s">
        <v>26</v>
      </c>
      <c r="C30">
        <v>3</v>
      </c>
      <c r="D30" s="1">
        <f t="shared" si="4"/>
        <v>5.89</v>
      </c>
      <c r="E30" s="4">
        <f t="shared" si="2"/>
        <v>10.201779256580688</v>
      </c>
      <c r="F30" s="10">
        <f>(E30/E$41)*100</f>
        <v>14.690696236988282</v>
      </c>
    </row>
    <row r="31" spans="2:6" ht="12.75">
      <c r="B31" s="6" t="s">
        <v>13</v>
      </c>
      <c r="C31" t="s">
        <v>13</v>
      </c>
      <c r="D31" s="1" t="s">
        <v>13</v>
      </c>
      <c r="E31" s="4"/>
      <c r="F31" s="10" t="s">
        <v>13</v>
      </c>
    </row>
    <row r="32" spans="2:7" ht="25.5">
      <c r="B32" s="9" t="s">
        <v>27</v>
      </c>
      <c r="C32">
        <v>6</v>
      </c>
      <c r="D32" s="1">
        <f>589/200</f>
        <v>2.945</v>
      </c>
      <c r="E32" s="4">
        <f t="shared" si="2"/>
        <v>7.213747292496459</v>
      </c>
      <c r="F32" s="10">
        <f>(E32/E$41)*100</f>
        <v>10.38789092952611</v>
      </c>
      <c r="G32" t="s">
        <v>33</v>
      </c>
    </row>
    <row r="33" spans="2:6" ht="12.75">
      <c r="B33" s="6" t="s">
        <v>13</v>
      </c>
      <c r="C33" t="s">
        <v>13</v>
      </c>
      <c r="D33" s="1" t="s">
        <v>13</v>
      </c>
      <c r="E33" s="4" t="s">
        <v>13</v>
      </c>
      <c r="F33" s="10" t="s">
        <v>13</v>
      </c>
    </row>
    <row r="34" spans="2:6" ht="12.75">
      <c r="B34" s="6" t="s">
        <v>22</v>
      </c>
      <c r="C34">
        <v>2</v>
      </c>
      <c r="D34" s="1">
        <f>589/200</f>
        <v>2.945</v>
      </c>
      <c r="E34" s="4">
        <f t="shared" si="2"/>
        <v>4.164858941188765</v>
      </c>
      <c r="F34" s="10">
        <f>(E34/E$41)*100</f>
        <v>5.997451624474372</v>
      </c>
    </row>
    <row r="35" spans="2:6" ht="12.75">
      <c r="B35" s="6" t="s">
        <v>35</v>
      </c>
      <c r="C35">
        <v>1</v>
      </c>
      <c r="D35" s="1">
        <f>589/100</f>
        <v>5.89</v>
      </c>
      <c r="E35" s="4">
        <f t="shared" si="2"/>
        <v>5.89</v>
      </c>
      <c r="F35" s="10">
        <f>(E35/E$41)*100</f>
        <v>8.481677427008206</v>
      </c>
    </row>
    <row r="36" spans="2:7" ht="12.75">
      <c r="B36" s="6" t="s">
        <v>19</v>
      </c>
      <c r="C36">
        <v>1</v>
      </c>
      <c r="D36" s="1">
        <f>589/16</f>
        <v>36.8125</v>
      </c>
      <c r="E36" s="4">
        <f t="shared" si="2"/>
        <v>36.8125</v>
      </c>
      <c r="F36" s="10">
        <f>(E36/E$41)*100</f>
        <v>53.0104839188013</v>
      </c>
      <c r="G36" s="17" t="s">
        <v>84</v>
      </c>
    </row>
    <row r="37" spans="2:7" ht="12.75">
      <c r="B37" s="6" t="s">
        <v>20</v>
      </c>
      <c r="C37">
        <v>1</v>
      </c>
      <c r="D37" s="1">
        <f>589/12</f>
        <v>49.083333333333336</v>
      </c>
      <c r="E37" s="4">
        <f t="shared" si="2"/>
        <v>49.083333333333336</v>
      </c>
      <c r="F37" s="10">
        <f>(E37/E$41)*100</f>
        <v>70.68064522506839</v>
      </c>
      <c r="G37" s="17" t="s">
        <v>47</v>
      </c>
    </row>
    <row r="38" spans="2:7" ht="12.75">
      <c r="B38" s="6" t="s">
        <v>21</v>
      </c>
      <c r="C38">
        <v>2</v>
      </c>
      <c r="D38" s="1">
        <f>589/50</f>
        <v>11.78</v>
      </c>
      <c r="E38" s="4">
        <f t="shared" si="2"/>
        <v>16.65943576475506</v>
      </c>
      <c r="F38" s="10">
        <f>(E38/E$41)*100</f>
        <v>23.989806497897487</v>
      </c>
      <c r="G38">
        <f>SQRT(SUMSQ(E34:E38))</f>
        <v>63.98365976842143</v>
      </c>
    </row>
    <row r="39" spans="2:6" ht="12.75">
      <c r="B39" s="6"/>
      <c r="E39" s="4"/>
      <c r="F39" s="10" t="s">
        <v>13</v>
      </c>
    </row>
    <row r="40" spans="2:7" ht="12.75">
      <c r="B40" s="6" t="s">
        <v>13</v>
      </c>
      <c r="E40" s="4" t="s">
        <v>13</v>
      </c>
      <c r="F40" s="10"/>
      <c r="G40" s="6" t="s">
        <v>13</v>
      </c>
    </row>
    <row r="41" spans="2:6" ht="12.75">
      <c r="B41" s="6" t="s">
        <v>48</v>
      </c>
      <c r="E41" s="5">
        <f>SQRT(SUMSQ(E8:E38))</f>
        <v>69.44381050432868</v>
      </c>
      <c r="F41" t="s">
        <v>60</v>
      </c>
    </row>
    <row r="42" ht="12.75">
      <c r="G42" t="s">
        <v>13</v>
      </c>
    </row>
    <row r="44" spans="2:7" ht="12.75">
      <c r="B44" s="6" t="s">
        <v>59</v>
      </c>
      <c r="E44" s="3">
        <v>70</v>
      </c>
      <c r="F44" t="s">
        <v>60</v>
      </c>
      <c r="G44" t="s">
        <v>87</v>
      </c>
    </row>
    <row r="48" ht="12.75">
      <c r="G48" t="s">
        <v>13</v>
      </c>
    </row>
    <row r="49" ht="12.75">
      <c r="B49" t="s">
        <v>92</v>
      </c>
    </row>
    <row r="50" ht="12.75">
      <c r="B50" t="s">
        <v>49</v>
      </c>
    </row>
    <row r="51" ht="12.75">
      <c r="B51" s="6" t="s">
        <v>76</v>
      </c>
    </row>
    <row r="53" spans="2:7" ht="12.75">
      <c r="B53" t="s">
        <v>91</v>
      </c>
      <c r="G53" s="6" t="s">
        <v>13</v>
      </c>
    </row>
    <row r="55" spans="2:7" ht="12.75">
      <c r="B55" t="s">
        <v>71</v>
      </c>
      <c r="C55">
        <v>0.134</v>
      </c>
      <c r="D55" s="1" t="s">
        <v>50</v>
      </c>
      <c r="G55" t="s">
        <v>69</v>
      </c>
    </row>
    <row r="57" spans="2:4" ht="12.75">
      <c r="B57" t="s">
        <v>24</v>
      </c>
      <c r="C57" t="s">
        <v>52</v>
      </c>
      <c r="D57" s="1" t="s">
        <v>53</v>
      </c>
    </row>
    <row r="58" spans="2:4" ht="12.75">
      <c r="B58" s="12">
        <v>0.5</v>
      </c>
      <c r="C58" s="10">
        <v>0.16</v>
      </c>
      <c r="D58" s="1">
        <f>C58*((589/500)^(6/5))</f>
        <v>0.19475756282650963</v>
      </c>
    </row>
    <row r="59" spans="2:4" ht="12.75">
      <c r="B59" s="12" t="s">
        <v>85</v>
      </c>
      <c r="C59" s="10">
        <v>0.22</v>
      </c>
      <c r="D59" s="1">
        <f>C59*((589/500)^(6/5))</f>
        <v>0.26779164888645074</v>
      </c>
    </row>
    <row r="60" spans="2:4" ht="12.75">
      <c r="B60" s="12" t="s">
        <v>86</v>
      </c>
      <c r="C60" s="10">
        <v>0.14</v>
      </c>
      <c r="D60" s="1">
        <f>C60*((589/500)^(6/5))</f>
        <v>0.17041286747319595</v>
      </c>
    </row>
    <row r="61" ht="12.75">
      <c r="B61" s="11"/>
    </row>
    <row r="62" ht="12.75">
      <c r="B62" s="11" t="s">
        <v>54</v>
      </c>
    </row>
    <row r="63" spans="2:7" ht="12.75">
      <c r="B63" s="10">
        <v>0.3</v>
      </c>
      <c r="C63" t="s">
        <v>51</v>
      </c>
      <c r="G63" t="s">
        <v>63</v>
      </c>
    </row>
    <row r="64" spans="2:4" ht="12.75">
      <c r="B64" s="11"/>
      <c r="D64" s="8" t="s">
        <v>80</v>
      </c>
    </row>
    <row r="65" spans="2:4" ht="12.75">
      <c r="B65" t="s">
        <v>61</v>
      </c>
      <c r="C65" t="s">
        <v>56</v>
      </c>
      <c r="D65" s="1" t="s">
        <v>55</v>
      </c>
    </row>
    <row r="66" spans="2:4" ht="12.75">
      <c r="B66" s="12">
        <v>0.5</v>
      </c>
      <c r="C66" s="10">
        <f>SQRT($C$55*($B$63/D58)^(5/3))</f>
        <v>0.5246965018698738</v>
      </c>
      <c r="D66" s="19">
        <f>C66/(2*PI())*589</f>
        <v>49.186236676518014</v>
      </c>
    </row>
    <row r="67" spans="2:4" ht="12.75">
      <c r="B67" s="12" t="s">
        <v>85</v>
      </c>
      <c r="C67" s="10">
        <f>SQRT($C$55*($B$63/D59)^(5/3))</f>
        <v>0.40239809894810186</v>
      </c>
      <c r="D67" s="10">
        <f>C67/(2*PI())*589</f>
        <v>37.72170781110112</v>
      </c>
    </row>
    <row r="68" spans="2:4" ht="12.75">
      <c r="B68" s="12" t="s">
        <v>86</v>
      </c>
      <c r="C68" s="10">
        <f>SQRT($C$55*($B$63/D60)^(5/3))</f>
        <v>0.5864551322274414</v>
      </c>
      <c r="D68" s="10">
        <f>C68/(2*PI())*589</f>
        <v>54.975630352213344</v>
      </c>
    </row>
    <row r="69" spans="2:6" ht="12.75">
      <c r="B69" s="11"/>
      <c r="F69" t="s">
        <v>13</v>
      </c>
    </row>
    <row r="70" spans="2:7" ht="12.75">
      <c r="B70" s="11"/>
      <c r="F70" t="s">
        <v>13</v>
      </c>
      <c r="G70" t="s">
        <v>13</v>
      </c>
    </row>
    <row r="71" spans="2:7" ht="12.75">
      <c r="B71" t="s">
        <v>13</v>
      </c>
      <c r="D71" s="6" t="s">
        <v>57</v>
      </c>
      <c r="F71" t="s">
        <v>13</v>
      </c>
      <c r="G71" t="s">
        <v>13</v>
      </c>
    </row>
    <row r="72" spans="2:7" ht="12.75">
      <c r="B72" s="11" t="s">
        <v>13</v>
      </c>
      <c r="D72" s="12" t="s">
        <v>62</v>
      </c>
      <c r="E72" s="3">
        <f>SQRT(SUMSQ(E41,D66,E44))</f>
        <v>110.18951263963172</v>
      </c>
      <c r="F72" t="s">
        <v>60</v>
      </c>
      <c r="G72" t="s">
        <v>13</v>
      </c>
    </row>
    <row r="73" spans="2:7" ht="12.75">
      <c r="B73" s="11" t="s">
        <v>13</v>
      </c>
      <c r="D73" s="12" t="s">
        <v>89</v>
      </c>
      <c r="E73" s="13">
        <f>SQRT(SUMSQ(E41,D67,E44))</f>
        <v>105.57163472044562</v>
      </c>
      <c r="F73" t="s">
        <v>13</v>
      </c>
      <c r="G73" t="s">
        <v>13</v>
      </c>
    </row>
    <row r="74" spans="2:5" ht="12.75">
      <c r="B74" s="11" t="s">
        <v>13</v>
      </c>
      <c r="C74" t="s">
        <v>13</v>
      </c>
      <c r="D74" s="12" t="s">
        <v>90</v>
      </c>
      <c r="E74" s="13">
        <f>SQRT(SUMSQ(E41,D68,E44))</f>
        <v>112.89270459150278</v>
      </c>
    </row>
    <row r="75" spans="3:5" ht="12.75">
      <c r="C75" t="s">
        <v>13</v>
      </c>
      <c r="D75"/>
      <c r="E75" t="s">
        <v>13</v>
      </c>
    </row>
    <row r="76" spans="3:5" ht="12.75">
      <c r="C76" s="11">
        <v>0.25</v>
      </c>
      <c r="D76" s="11">
        <v>0.7</v>
      </c>
      <c r="E76" s="11">
        <v>0.5</v>
      </c>
    </row>
    <row r="77" spans="2:5" ht="12.75">
      <c r="B77" s="2" t="s">
        <v>58</v>
      </c>
      <c r="C77" s="1">
        <f>EXP(-1*(E74/589*2*PI())^2)</f>
        <v>0.23449753485152622</v>
      </c>
      <c r="D77" s="1">
        <f>EXP(-1*(E73/589*2*PI())^2)</f>
        <v>0.28130808806903507</v>
      </c>
      <c r="E77" s="1">
        <f>EXP(-1*(E72/589*2*PI())^2)</f>
        <v>0.2511544977138914</v>
      </c>
    </row>
    <row r="78" spans="2:7" ht="12.75">
      <c r="B78" s="2" t="s">
        <v>93</v>
      </c>
      <c r="C78" s="1">
        <f>1/SQRT(C77)</f>
        <v>2.0650513682214657</v>
      </c>
      <c r="D78" s="1">
        <f>1/SQRT(D77)</f>
        <v>1.885423389920307</v>
      </c>
      <c r="E78" s="1">
        <f>1/SQRT(E77)</f>
        <v>1.9953979422201933</v>
      </c>
      <c r="G78" t="s">
        <v>94</v>
      </c>
    </row>
    <row r="79" spans="2:5" ht="12.75">
      <c r="B79" s="2"/>
      <c r="E79" s="1"/>
    </row>
    <row r="80" spans="2:5" ht="25.5">
      <c r="B80" s="2" t="s">
        <v>65</v>
      </c>
      <c r="E80" s="1"/>
    </row>
    <row r="81" spans="2:5" ht="12.75">
      <c r="B81" s="2" t="s">
        <v>67</v>
      </c>
      <c r="C81" s="1">
        <f>B63*C78</f>
        <v>0.6195154104664397</v>
      </c>
      <c r="D81" s="1">
        <f>B63*D78</f>
        <v>0.5656270169760921</v>
      </c>
      <c r="E81" s="1">
        <f>B63*E78</f>
        <v>0.598619382666058</v>
      </c>
    </row>
    <row r="82" spans="2:5" ht="12.75">
      <c r="B82" s="2" t="s">
        <v>68</v>
      </c>
      <c r="C82" s="1">
        <f>0.59*C81</f>
        <v>0.36551409217519937</v>
      </c>
      <c r="D82" s="1">
        <f>0.59*D81</f>
        <v>0.33371994001589433</v>
      </c>
      <c r="E82" s="1">
        <f>0.59*E81</f>
        <v>0.3531854357729742</v>
      </c>
    </row>
    <row r="84" spans="2:7" ht="12.75">
      <c r="B84" s="2" t="s">
        <v>72</v>
      </c>
      <c r="C84">
        <f>90000-4123</f>
        <v>85877</v>
      </c>
      <c r="D84">
        <f>90000-4123</f>
        <v>85877</v>
      </c>
      <c r="E84">
        <f>90000-4123</f>
        <v>85877</v>
      </c>
      <c r="G84" t="s">
        <v>64</v>
      </c>
    </row>
    <row r="86" spans="2:7" ht="25.5">
      <c r="B86" s="2" t="s">
        <v>66</v>
      </c>
      <c r="C86" s="4">
        <f>C82/C84*206265</f>
        <v>0.8779156726774049</v>
      </c>
      <c r="D86" s="4">
        <f>D82/D84*206265</f>
        <v>0.8015503968161258</v>
      </c>
      <c r="E86" s="14">
        <f>E82/E84*206265</f>
        <v>0.8483038987122573</v>
      </c>
      <c r="F86" t="s">
        <v>77</v>
      </c>
      <c r="G86" s="6" t="s">
        <v>88</v>
      </c>
    </row>
    <row r="87" spans="2:7" ht="38.25" customHeight="1">
      <c r="B87" s="2" t="s">
        <v>95</v>
      </c>
      <c r="D87" s="1" t="s">
        <v>13</v>
      </c>
      <c r="E87" s="16">
        <v>0.9</v>
      </c>
      <c r="F87" t="s">
        <v>77</v>
      </c>
      <c r="G87" s="6" t="s">
        <v>78</v>
      </c>
    </row>
    <row r="89" ht="12.75">
      <c r="B89" t="s">
        <v>13</v>
      </c>
    </row>
    <row r="90" ht="12.75">
      <c r="B90" t="s">
        <v>13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cneyman</cp:lastModifiedBy>
  <dcterms:created xsi:type="dcterms:W3CDTF">1996-10-14T23:33:28Z</dcterms:created>
  <dcterms:modified xsi:type="dcterms:W3CDTF">2009-05-06T00:02:11Z</dcterms:modified>
  <cp:category/>
  <cp:version/>
  <cp:contentType/>
  <cp:contentStatus/>
</cp:coreProperties>
</file>