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ummary" sheetId="1" r:id="rId1"/>
    <sheet name="Trans_PNS" sheetId="2" r:id="rId2"/>
    <sheet name="Trans_central" sheetId="3" r:id="rId3"/>
    <sheet name="RMSwfe PNS" sheetId="4" r:id="rId4"/>
    <sheet name="RMSwfe central" sheetId="5" r:id="rId5"/>
    <sheet name="Spot Size PNS" sheetId="6" r:id="rId6"/>
    <sheet name="Spot Size central" sheetId="7" r:id="rId7"/>
  </sheets>
  <definedNames/>
  <calcPr fullCalcOnLoad="1"/>
</workbook>
</file>

<file path=xl/sharedStrings.xml><?xml version="1.0" encoding="utf-8"?>
<sst xmlns="http://schemas.openxmlformats.org/spreadsheetml/2006/main" count="423" uniqueCount="155">
  <si>
    <t>Element Name</t>
  </si>
  <si>
    <t>Number of Surfaces</t>
  </si>
  <si>
    <t>Transmission</t>
  </si>
  <si>
    <t>Comments</t>
  </si>
  <si>
    <t>Mirror inside Laser Enclosure</t>
  </si>
  <si>
    <t xml:space="preserve">May not need </t>
  </si>
  <si>
    <t xml:space="preserve"> </t>
  </si>
  <si>
    <t>Located at top of Telescope tube (Just outside Secondary Support Structure</t>
  </si>
  <si>
    <t>Located inside secondary socket</t>
  </si>
  <si>
    <t>1/4 Wave Plate</t>
  </si>
  <si>
    <t>Launch Tel. Secondary</t>
  </si>
  <si>
    <t>Launch Tel. Primary</t>
  </si>
  <si>
    <t>Launch Tel. Output Win.</t>
  </si>
  <si>
    <t>Launch Tel. Input Win.</t>
  </si>
  <si>
    <t>Power lost in sec. obstruction of launch telescope 4.5%</t>
  </si>
  <si>
    <t>r0</t>
  </si>
  <si>
    <t>Reflec./Trans. per Surface</t>
  </si>
  <si>
    <t>K Mirror assembly</t>
  </si>
  <si>
    <t>Astr. Gen. B.S. 1</t>
  </si>
  <si>
    <t>LGS Beam Transport System</t>
  </si>
  <si>
    <t>RMS WFE (nm)</t>
  </si>
  <si>
    <t>Launch Tel. Tertiary</t>
  </si>
  <si>
    <t>TOTAL Transmission loss</t>
  </si>
  <si>
    <t>Astr. Gen. Mirror 1</t>
  </si>
  <si>
    <t>Optical component contribution to RMS WFE</t>
  </si>
  <si>
    <t>radian^2</t>
  </si>
  <si>
    <t>m</t>
  </si>
  <si>
    <t xml:space="preserve">m (at 500 nm) </t>
  </si>
  <si>
    <t>m (at 589 nm)</t>
  </si>
  <si>
    <t>WFE (nm)</t>
  </si>
  <si>
    <t>RMS WFE (radians)</t>
  </si>
  <si>
    <t>Total Strehl</t>
  </si>
  <si>
    <t>Laser Unit contribution to RMS WFE</t>
  </si>
  <si>
    <t>nm</t>
  </si>
  <si>
    <t>Beam at Na layer is M^2 times diffraction limited</t>
  </si>
  <si>
    <t>1/e2  (m)</t>
  </si>
  <si>
    <t>FWHM = 0.59*1/e2 (m)</t>
  </si>
  <si>
    <t>Should use resided Noll for gaussian beam or Fresnel propagation</t>
  </si>
  <si>
    <t xml:space="preserve">RMS Wavefront error budget for full optical path (3+1) Science LGS </t>
  </si>
  <si>
    <t>Noll residual (Noll 1976)</t>
  </si>
  <si>
    <t>minimum range to Na layer (m)</t>
  </si>
  <si>
    <t xml:space="preserve">Spec from Dekany </t>
  </si>
  <si>
    <t>Assume that LGS WFS fast frame rate so no residual tip/tilt blurring</t>
  </si>
  <si>
    <t>This number is the goal from higher level NGAO error budgets</t>
  </si>
  <si>
    <t>Mirror inside Laser Enclosure (lambda/20 PV -&gt; lambda/100 rms)</t>
  </si>
  <si>
    <t>Located at top of Telescope tube (Just outside top ring)</t>
  </si>
  <si>
    <t>37.5% (Challenging)</t>
  </si>
  <si>
    <t>Based on ESO requirement for Laser Units</t>
  </si>
  <si>
    <t>Final number</t>
  </si>
  <si>
    <t xml:space="preserve">Use Noll residual for tip-tilt removed wavefront error, include focus, astig., coma, spheric., etc. </t>
  </si>
  <si>
    <t>total M^2 (~1/sqrt(Strehl) )</t>
  </si>
  <si>
    <t>Assumes beam is still ~ gaussian</t>
  </si>
  <si>
    <t>(FWHM) Spot size at Na layer (arc seconds) source Dekany</t>
  </si>
  <si>
    <t>Beam Expander Telescope Lens 1</t>
  </si>
  <si>
    <t>Beam Expander Telescope Lens 2</t>
  </si>
  <si>
    <t>Global TT mirror</t>
  </si>
  <si>
    <t>BTOB fold</t>
  </si>
  <si>
    <t>Astr. Gen. Pupil Imaging lens</t>
  </si>
  <si>
    <t>Astr. Gen. Negative lens</t>
  </si>
  <si>
    <t>Astr. Gen. B.S. 2</t>
  </si>
  <si>
    <t>Mirror reflectivity</t>
  </si>
  <si>
    <t>Lens AR transmission</t>
  </si>
  <si>
    <t xml:space="preserve">Transmission Budget for full optical path PNS LGS </t>
  </si>
  <si>
    <t>Top Ring Mirror 1</t>
  </si>
  <si>
    <t>Top Ring Mirror 2</t>
  </si>
  <si>
    <t>Laser Enc. Laser 1 Mirror</t>
  </si>
  <si>
    <t>Laser Enc. Steering Mirror</t>
  </si>
  <si>
    <t>Asterism fold mirror</t>
  </si>
  <si>
    <t>Beam Expander Telescope Design</t>
  </si>
  <si>
    <t>1/2 Wave Plate</t>
  </si>
  <si>
    <t>Polarization control</t>
  </si>
  <si>
    <t>Sec. Socket Mirror 1</t>
  </si>
  <si>
    <t>Sec. Socket Mirror 2</t>
  </si>
  <si>
    <t>Astr. Gen. Mirror 2</t>
  </si>
  <si>
    <t>Astr. Gen. Mirror 3</t>
  </si>
  <si>
    <t>Fold</t>
  </si>
  <si>
    <t>Launch Tel. Output Win. Surf 1</t>
  </si>
  <si>
    <t>Launch Tel. Output Win. Surf 2</t>
  </si>
  <si>
    <t>LLT Secondary Obscuration</t>
  </si>
  <si>
    <t>Fold between Asterism Generator and K mirror</t>
  </si>
  <si>
    <t>Fold down through hole in BTOB to LTA</t>
  </si>
  <si>
    <t>From Galileo Avionica K1 LTA report</t>
  </si>
  <si>
    <t>Pupil imaging lens</t>
  </si>
  <si>
    <t>Mirror Reflectivity</t>
  </si>
  <si>
    <t>Lens Transmission</t>
  </si>
  <si>
    <t>Overall Transmission</t>
  </si>
  <si>
    <t>Transmission Summary</t>
  </si>
  <si>
    <t>Wavefront Error Summary</t>
  </si>
  <si>
    <t>Beamsplitter</t>
  </si>
  <si>
    <r>
      <t>PV (</t>
    </r>
    <r>
      <rPr>
        <b/>
        <sz val="10"/>
        <rFont val="Arial"/>
        <family val="0"/>
      </rPr>
      <t>λ</t>
    </r>
    <r>
      <rPr>
        <b/>
        <sz val="10"/>
        <rFont val="Arial"/>
        <family val="2"/>
      </rPr>
      <t xml:space="preserve"> @ 632.8 nm)</t>
    </r>
  </si>
  <si>
    <t>RMS (nm)</t>
  </si>
  <si>
    <t>Lens figure</t>
  </si>
  <si>
    <t>Mirror figure</t>
  </si>
  <si>
    <t>PNS</t>
  </si>
  <si>
    <t>Overal Performance</t>
  </si>
  <si>
    <t>3+1</t>
  </si>
  <si>
    <t>Total WFE (nm)</t>
  </si>
  <si>
    <t>Assumed Surface Values</t>
  </si>
  <si>
    <t>Assumed Coating Values</t>
  </si>
  <si>
    <t>Beamsplitter figure</t>
  </si>
  <si>
    <t>Per surface</t>
  </si>
  <si>
    <t>Negative lens</t>
  </si>
  <si>
    <t>nm RMS</t>
  </si>
  <si>
    <t>1/e2 beam size at 85km (m)</t>
  </si>
  <si>
    <t>Conservative assumption that RMS = PV/3</t>
  </si>
  <si>
    <t>Nominal design:  19.0 nm;  More expensive:  4.4 nm</t>
  </si>
  <si>
    <t>Nominal design:  33.5 nm;  More expensive:  7.5 nm</t>
  </si>
  <si>
    <t xml:space="preserve">Color Code </t>
  </si>
  <si>
    <t>Key Results</t>
  </si>
  <si>
    <t xml:space="preserve">Key Inputs </t>
  </si>
  <si>
    <t>Requirement</t>
  </si>
  <si>
    <t>Beam Expander WFE, on-axis (3+1)</t>
  </si>
  <si>
    <t>Beam Expander WFE, off-axis (PNS)</t>
  </si>
  <si>
    <t>Dirt/scatter</t>
  </si>
  <si>
    <t>Dirt/Scatter</t>
  </si>
  <si>
    <t>Launch Tel. Input Win. Surf 1</t>
  </si>
  <si>
    <t>Launch Tel. Input Win. Surf 2</t>
  </si>
  <si>
    <t>Total Element Transmission</t>
  </si>
  <si>
    <t xml:space="preserve">Dirt Scattering </t>
  </si>
  <si>
    <t>Ion beam coating can be 99.90%, Standard laser line "V" coating is 99.50%</t>
  </si>
  <si>
    <t>High performance coating = 99.75%, Conservative 99.00% to 99.50%</t>
  </si>
  <si>
    <t>Fold beam from laser enclosure parallel to top tube</t>
  </si>
  <si>
    <t>Fold beam from top tube to spider</t>
  </si>
  <si>
    <t>Fold from spider into secondary socket</t>
  </si>
  <si>
    <t xml:space="preserve">Fold onto optical assembly </t>
  </si>
  <si>
    <t>Represents reflection loss in beam splitter (50/50 splitter)</t>
  </si>
  <si>
    <t>Compensates for positive lens</t>
  </si>
  <si>
    <t>Takes telecentric input beams, forms pupil</t>
  </si>
  <si>
    <t>PV error (waves @ 632.8 nm)</t>
  </si>
  <si>
    <t>Per Element</t>
  </si>
  <si>
    <t>Figure error</t>
  </si>
  <si>
    <t>WFE of design</t>
  </si>
  <si>
    <t>Numbers from LTA for K1 LGS project</t>
  </si>
  <si>
    <t>From Sheet RMSwfe PNS</t>
  </si>
  <si>
    <t>PNS spot size at sodium layer</t>
  </si>
  <si>
    <t>Uplink atmospheric component is seeing dependent</t>
  </si>
  <si>
    <t>Assumptions</t>
  </si>
  <si>
    <t>Calculate atmospheric contribution</t>
  </si>
  <si>
    <t>Assuming median seeing (Check 75%,25% cases)</t>
  </si>
  <si>
    <t>Laser Launch Telescope aperture</t>
  </si>
  <si>
    <t>Seeing Case</t>
  </si>
  <si>
    <t>50% (Design)</t>
  </si>
  <si>
    <t>87.5% (Excellent)</t>
  </si>
  <si>
    <t>Spot size calculation</t>
  </si>
  <si>
    <t>Seeing case</t>
  </si>
  <si>
    <t>Total atmosphere, optics, laser RMS WFE (nm)</t>
  </si>
  <si>
    <t>Assume projection forms a 6.6 cm waist @ 103km:  Balanced angular size at 85 km and 250 km, smaller over rest of range</t>
  </si>
  <si>
    <t>Diffraction limited size, perfect optics, no atmosphere: M^2=1</t>
  </si>
  <si>
    <t>Closest Na layer distance 85 km -4.1 km</t>
  </si>
  <si>
    <t>(FWHM) Spot size at Na layer at zenith (arc seconds)</t>
  </si>
  <si>
    <t>Spot size vs altitude</t>
  </si>
  <si>
    <t>Altitude (km)</t>
  </si>
  <si>
    <t>Conservatively using full diameter of launch telescope (beam size decreases with altitude)</t>
  </si>
  <si>
    <t xml:space="preserve">Spot size (arcsec) for Seeing Condition </t>
  </si>
  <si>
    <t>Based on KAON 503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</si>
</sst>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%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4.5"/>
      <name val="Arial"/>
      <family val="0"/>
    </font>
    <font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Alignment="1">
      <alignment horizontal="right"/>
    </xf>
    <xf numFmtId="2" fontId="0" fillId="2" borderId="0" xfId="0" applyNumberFormat="1" applyFill="1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66" fontId="0" fillId="2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7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6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1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164" fontId="0" fillId="3" borderId="0" xfId="0" applyNumberFormat="1" applyFill="1" applyAlignment="1">
      <alignment/>
    </xf>
    <xf numFmtId="166" fontId="0" fillId="2" borderId="10" xfId="0" applyNumberFormat="1" applyFill="1" applyBorder="1" applyAlignment="1">
      <alignment/>
    </xf>
    <xf numFmtId="2" fontId="0" fillId="2" borderId="10" xfId="0" applyNumberFormat="1" applyFill="1" applyBorder="1" applyAlignment="1">
      <alignment/>
    </xf>
    <xf numFmtId="166" fontId="0" fillId="2" borderId="11" xfId="0" applyNumberFormat="1" applyFill="1" applyBorder="1" applyAlignment="1">
      <alignment/>
    </xf>
    <xf numFmtId="2" fontId="0" fillId="2" borderId="11" xfId="0" applyNumberFormat="1" applyFill="1" applyBorder="1" applyAlignment="1">
      <alignment/>
    </xf>
    <xf numFmtId="166" fontId="0" fillId="3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10" fontId="2" fillId="0" borderId="0" xfId="0" applyNumberFormat="1" applyFont="1" applyAlignment="1">
      <alignment wrapText="1"/>
    </xf>
    <xf numFmtId="10" fontId="0" fillId="0" borderId="0" xfId="0" applyNumberFormat="1" applyFont="1" applyAlignment="1">
      <alignment/>
    </xf>
    <xf numFmtId="10" fontId="0" fillId="4" borderId="0" xfId="0" applyNumberFormat="1" applyFill="1" applyAlignment="1">
      <alignment/>
    </xf>
    <xf numFmtId="10" fontId="0" fillId="5" borderId="0" xfId="0" applyNumberFormat="1" applyFill="1" applyAlignment="1">
      <alignment/>
    </xf>
    <xf numFmtId="10" fontId="0" fillId="3" borderId="0" xfId="0" applyNumberFormat="1" applyFill="1" applyAlignment="1">
      <alignment/>
    </xf>
    <xf numFmtId="10" fontId="2" fillId="0" borderId="1" xfId="0" applyNumberFormat="1" applyFont="1" applyFill="1" applyBorder="1" applyAlignment="1">
      <alignment/>
    </xf>
    <xf numFmtId="10" fontId="0" fillId="2" borderId="10" xfId="0" applyNumberFormat="1" applyFill="1" applyBorder="1" applyAlignment="1">
      <alignment/>
    </xf>
    <xf numFmtId="10" fontId="0" fillId="2" borderId="11" xfId="0" applyNumberFormat="1" applyFill="1" applyBorder="1" applyAlignment="1">
      <alignment/>
    </xf>
    <xf numFmtId="167" fontId="0" fillId="0" borderId="0" xfId="0" applyNumberFormat="1" applyAlignment="1">
      <alignment/>
    </xf>
    <xf numFmtId="166" fontId="2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166" fontId="0" fillId="0" borderId="0" xfId="0" applyNumberFormat="1" applyAlignment="1">
      <alignment wrapText="1"/>
    </xf>
    <xf numFmtId="2" fontId="0" fillId="5" borderId="0" xfId="0" applyNumberFormat="1" applyFill="1" applyAlignment="1">
      <alignment/>
    </xf>
    <xf numFmtId="0" fontId="0" fillId="5" borderId="12" xfId="0" applyFill="1" applyBorder="1" applyAlignment="1">
      <alignment/>
    </xf>
    <xf numFmtId="166" fontId="0" fillId="5" borderId="12" xfId="0" applyNumberFormat="1" applyFill="1" applyBorder="1" applyAlignment="1">
      <alignment/>
    </xf>
    <xf numFmtId="9" fontId="0" fillId="5" borderId="12" xfId="0" applyNumberFormat="1" applyFill="1" applyBorder="1" applyAlignment="1">
      <alignment horizontal="right"/>
    </xf>
    <xf numFmtId="2" fontId="0" fillId="5" borderId="12" xfId="0" applyNumberFormat="1" applyFill="1" applyBorder="1" applyAlignment="1">
      <alignment/>
    </xf>
    <xf numFmtId="9" fontId="0" fillId="5" borderId="12" xfId="0" applyNumberFormat="1" applyFill="1" applyBorder="1" applyAlignment="1">
      <alignment/>
    </xf>
    <xf numFmtId="0" fontId="0" fillId="5" borderId="12" xfId="0" applyFill="1" applyBorder="1" applyAlignment="1">
      <alignment wrapText="1"/>
    </xf>
    <xf numFmtId="166" fontId="0" fillId="5" borderId="12" xfId="0" applyNumberFormat="1" applyFill="1" applyBorder="1" applyAlignment="1">
      <alignment wrapText="1"/>
    </xf>
    <xf numFmtId="0" fontId="0" fillId="5" borderId="13" xfId="0" applyFill="1" applyBorder="1" applyAlignment="1">
      <alignment/>
    </xf>
    <xf numFmtId="166" fontId="0" fillId="5" borderId="13" xfId="0" applyNumberFormat="1" applyFill="1" applyBorder="1" applyAlignment="1">
      <alignment/>
    </xf>
    <xf numFmtId="0" fontId="2" fillId="5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2" fillId="0" borderId="14" xfId="0" applyFont="1" applyFill="1" applyBorder="1" applyAlignment="1">
      <alignment/>
    </xf>
    <xf numFmtId="166" fontId="0" fillId="0" borderId="14" xfId="0" applyNumberFormat="1" applyFill="1" applyBorder="1" applyAlignment="1">
      <alignment/>
    </xf>
    <xf numFmtId="9" fontId="2" fillId="0" borderId="0" xfId="0" applyNumberFormat="1" applyFont="1" applyAlignment="1">
      <alignment/>
    </xf>
    <xf numFmtId="2" fontId="0" fillId="0" borderId="14" xfId="0" applyNumberFormat="1" applyFill="1" applyBorder="1" applyAlignment="1">
      <alignment/>
    </xf>
    <xf numFmtId="2" fontId="0" fillId="5" borderId="13" xfId="0" applyNumberFormat="1" applyFill="1" applyBorder="1" applyAlignment="1">
      <alignment/>
    </xf>
    <xf numFmtId="2" fontId="0" fillId="5" borderId="12" xfId="0" applyNumberFormat="1" applyFill="1" applyBorder="1" applyAlignment="1">
      <alignment wrapText="1"/>
    </xf>
    <xf numFmtId="2" fontId="0" fillId="0" borderId="0" xfId="0" applyNumberFormat="1" applyAlignment="1">
      <alignment wrapText="1"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 horizontal="right"/>
    </xf>
    <xf numFmtId="2" fontId="0" fillId="3" borderId="0" xfId="0" applyNumberFormat="1" applyFill="1" applyAlignment="1">
      <alignment/>
    </xf>
    <xf numFmtId="0" fontId="2" fillId="0" borderId="0" xfId="0" applyFont="1" applyAlignment="1">
      <alignment/>
    </xf>
    <xf numFmtId="9" fontId="2" fillId="0" borderId="12" xfId="0" applyNumberFormat="1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Spot size vs altitude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central @ 37.5%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'Spot Size central'!$B$52:$B$69</c:f>
              <c:numCache>
                <c:ptCount val="18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115</c:v>
                </c:pt>
                <c:pt idx="8">
                  <c:v>120</c:v>
                </c:pt>
                <c:pt idx="9">
                  <c:v>125</c:v>
                </c:pt>
                <c:pt idx="10">
                  <c:v>130</c:v>
                </c:pt>
                <c:pt idx="11">
                  <c:v>135</c:v>
                </c:pt>
                <c:pt idx="12">
                  <c:v>140</c:v>
                </c:pt>
                <c:pt idx="13">
                  <c:v>145</c:v>
                </c:pt>
                <c:pt idx="14">
                  <c:v>150</c:v>
                </c:pt>
                <c:pt idx="15">
                  <c:v>155</c:v>
                </c:pt>
                <c:pt idx="16">
                  <c:v>160</c:v>
                </c:pt>
                <c:pt idx="17">
                  <c:v>165</c:v>
                </c:pt>
              </c:numCache>
            </c:numRef>
          </c:xVal>
          <c:yVal>
            <c:numRef>
              <c:f>'Spot Size central'!$C$52:$C$69</c:f>
              <c:numCache>
                <c:ptCount val="18"/>
                <c:pt idx="0">
                  <c:v>0.556997369774376</c:v>
                </c:pt>
                <c:pt idx="1">
                  <c:v>0.47128465910478656</c:v>
                </c:pt>
                <c:pt idx="2">
                  <c:v>0.4031956102917008</c:v>
                </c:pt>
                <c:pt idx="3">
                  <c:v>0.3525495746275011</c:v>
                </c:pt>
                <c:pt idx="4">
                  <c:v>0.31930435039541477</c:v>
                </c:pt>
                <c:pt idx="5">
                  <c:v>0.30271095710337004</c:v>
                </c:pt>
                <c:pt idx="6">
                  <c:v>0.30066896202602267</c:v>
                </c:pt>
                <c:pt idx="7">
                  <c:v>0.3099297923950176</c:v>
                </c:pt>
                <c:pt idx="8">
                  <c:v>0.32699372056789094</c:v>
                </c:pt>
                <c:pt idx="9">
                  <c:v>0.3488932696907682</c:v>
                </c:pt>
                <c:pt idx="10">
                  <c:v>0.37346307014113017</c:v>
                </c:pt>
                <c:pt idx="11">
                  <c:v>0.39925538650059517</c:v>
                </c:pt>
                <c:pt idx="12">
                  <c:v>0.4253493277626149</c:v>
                </c:pt>
                <c:pt idx="13">
                  <c:v>0.45117774226574864</c:v>
                </c:pt>
                <c:pt idx="14">
                  <c:v>0.4764017696126513</c:v>
                </c:pt>
                <c:pt idx="15">
                  <c:v>0.5008275494780899</c:v>
                </c:pt>
                <c:pt idx="16">
                  <c:v>0.5243527955883203</c:v>
                </c:pt>
                <c:pt idx="17">
                  <c:v>0.5469328839929429</c:v>
                </c:pt>
              </c:numCache>
            </c:numRef>
          </c:yVal>
          <c:smooth val="1"/>
        </c:ser>
        <c:ser>
          <c:idx val="1"/>
          <c:order val="1"/>
          <c:tx>
            <c:v>central @ 50%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'Spot Size central'!$B$52:$B$69</c:f>
              <c:numCache>
                <c:ptCount val="18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115</c:v>
                </c:pt>
                <c:pt idx="8">
                  <c:v>120</c:v>
                </c:pt>
                <c:pt idx="9">
                  <c:v>125</c:v>
                </c:pt>
                <c:pt idx="10">
                  <c:v>130</c:v>
                </c:pt>
                <c:pt idx="11">
                  <c:v>135</c:v>
                </c:pt>
                <c:pt idx="12">
                  <c:v>140</c:v>
                </c:pt>
                <c:pt idx="13">
                  <c:v>145</c:v>
                </c:pt>
                <c:pt idx="14">
                  <c:v>150</c:v>
                </c:pt>
                <c:pt idx="15">
                  <c:v>155</c:v>
                </c:pt>
                <c:pt idx="16">
                  <c:v>160</c:v>
                </c:pt>
                <c:pt idx="17">
                  <c:v>165</c:v>
                </c:pt>
              </c:numCache>
            </c:numRef>
          </c:xVal>
          <c:yVal>
            <c:numRef>
              <c:f>'Spot Size central'!$D$52:$D$69</c:f>
              <c:numCache>
                <c:ptCount val="18"/>
                <c:pt idx="0">
                  <c:v>0.5139741369108642</c:v>
                </c:pt>
                <c:pt idx="1">
                  <c:v>0.43488199235269004</c:v>
                </c:pt>
                <c:pt idx="2">
                  <c:v>0.3720522340883483</c:v>
                </c:pt>
                <c:pt idx="3">
                  <c:v>0.32531816696158283</c:v>
                </c:pt>
                <c:pt idx="4">
                  <c:v>0.2946408489734983</c:v>
                </c:pt>
                <c:pt idx="5">
                  <c:v>0.27932915190183044</c:v>
                </c:pt>
                <c:pt idx="6">
                  <c:v>0.2774448832958927</c:v>
                </c:pt>
                <c:pt idx="7">
                  <c:v>0.2859903945573012</c:v>
                </c:pt>
                <c:pt idx="8">
                  <c:v>0.3017362817569376</c:v>
                </c:pt>
                <c:pt idx="9">
                  <c:v>0.32194427998092884</c:v>
                </c:pt>
                <c:pt idx="10">
                  <c:v>0.34461627569549297</c:v>
                </c:pt>
                <c:pt idx="11">
                  <c:v>0.3684163585310007</c:v>
                </c:pt>
                <c:pt idx="12">
                  <c:v>0.392494768352191</c:v>
                </c:pt>
                <c:pt idx="13">
                  <c:v>0.4163281610617575</c:v>
                </c:pt>
                <c:pt idx="14">
                  <c:v>0.43960385029938703</c:v>
                </c:pt>
                <c:pt idx="15">
                  <c:v>0.46214294977449744</c:v>
                </c:pt>
                <c:pt idx="16">
                  <c:v>0.48385107394396315</c:v>
                </c:pt>
                <c:pt idx="17">
                  <c:v>0.5046870456718827</c:v>
                </c:pt>
              </c:numCache>
            </c:numRef>
          </c:yVal>
          <c:smooth val="1"/>
        </c:ser>
        <c:ser>
          <c:idx val="2"/>
          <c:order val="2"/>
          <c:tx>
            <c:v>central @ 87.5%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'Spot Size central'!$B$52:$B$69</c:f>
              <c:numCache>
                <c:ptCount val="18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115</c:v>
                </c:pt>
                <c:pt idx="8">
                  <c:v>120</c:v>
                </c:pt>
                <c:pt idx="9">
                  <c:v>125</c:v>
                </c:pt>
                <c:pt idx="10">
                  <c:v>130</c:v>
                </c:pt>
                <c:pt idx="11">
                  <c:v>135</c:v>
                </c:pt>
                <c:pt idx="12">
                  <c:v>140</c:v>
                </c:pt>
                <c:pt idx="13">
                  <c:v>145</c:v>
                </c:pt>
                <c:pt idx="14">
                  <c:v>150</c:v>
                </c:pt>
                <c:pt idx="15">
                  <c:v>155</c:v>
                </c:pt>
                <c:pt idx="16">
                  <c:v>160</c:v>
                </c:pt>
                <c:pt idx="17">
                  <c:v>165</c:v>
                </c:pt>
              </c:numCache>
            </c:numRef>
          </c:xVal>
          <c:yVal>
            <c:numRef>
              <c:f>'Spot Size central'!$E$52:$E$69</c:f>
              <c:numCache>
                <c:ptCount val="18"/>
                <c:pt idx="0">
                  <c:v>0.450047515181455</c:v>
                </c:pt>
                <c:pt idx="1">
                  <c:v>0.3807926235973311</c:v>
                </c:pt>
                <c:pt idx="2">
                  <c:v>0.3257774495726623</c:v>
                </c:pt>
                <c:pt idx="3">
                  <c:v>0.2848560310142504</c:v>
                </c:pt>
                <c:pt idx="4">
                  <c:v>0.25799426941677184</c:v>
                </c:pt>
                <c:pt idx="5">
                  <c:v>0.24458699709421497</c:v>
                </c:pt>
                <c:pt idx="6">
                  <c:v>0.24293708838648612</c:v>
                </c:pt>
                <c:pt idx="7">
                  <c:v>0.25041973358779296</c:v>
                </c:pt>
                <c:pt idx="8">
                  <c:v>0.26420719272166127</c:v>
                </c:pt>
                <c:pt idx="9">
                  <c:v>0.28190177837174857</c:v>
                </c:pt>
                <c:pt idx="10">
                  <c:v>0.30175389660647395</c:v>
                </c:pt>
                <c:pt idx="11">
                  <c:v>0.3225937937375099</c:v>
                </c:pt>
                <c:pt idx="12">
                  <c:v>0.3436774003459687</c:v>
                </c:pt>
                <c:pt idx="13">
                  <c:v>0.36454646436494065</c:v>
                </c:pt>
                <c:pt idx="14">
                  <c:v>0.38492719046235696</c:v>
                </c:pt>
                <c:pt idx="15">
                  <c:v>0.40466294170885736</c:v>
                </c:pt>
                <c:pt idx="16">
                  <c:v>0.42367107196312354</c:v>
                </c:pt>
                <c:pt idx="17">
                  <c:v>0.4419155255827335</c:v>
                </c:pt>
              </c:numCache>
            </c:numRef>
          </c:yVal>
          <c:smooth val="1"/>
        </c:ser>
        <c:ser>
          <c:idx val="3"/>
          <c:order val="3"/>
          <c:tx>
            <c:v>PNS @ 37.5%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'Spot Size PNS'!$B$52:$B$69</c:f>
              <c:numCache>
                <c:ptCount val="18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115</c:v>
                </c:pt>
                <c:pt idx="8">
                  <c:v>120</c:v>
                </c:pt>
                <c:pt idx="9">
                  <c:v>125</c:v>
                </c:pt>
                <c:pt idx="10">
                  <c:v>130</c:v>
                </c:pt>
                <c:pt idx="11">
                  <c:v>135</c:v>
                </c:pt>
                <c:pt idx="12">
                  <c:v>140</c:v>
                </c:pt>
                <c:pt idx="13">
                  <c:v>145</c:v>
                </c:pt>
                <c:pt idx="14">
                  <c:v>150</c:v>
                </c:pt>
                <c:pt idx="15">
                  <c:v>155</c:v>
                </c:pt>
                <c:pt idx="16">
                  <c:v>160</c:v>
                </c:pt>
                <c:pt idx="17">
                  <c:v>165</c:v>
                </c:pt>
              </c:numCache>
            </c:numRef>
          </c:xVal>
          <c:yVal>
            <c:numRef>
              <c:f>'Spot Size PNS'!$C$52:$C$69</c:f>
              <c:numCache>
                <c:ptCount val="18"/>
                <c:pt idx="0">
                  <c:v>0.6196554096688328</c:v>
                </c:pt>
                <c:pt idx="1">
                  <c:v>0.5243006598515094</c:v>
                </c:pt>
                <c:pt idx="2">
                  <c:v>0.448552102092065</c:v>
                </c:pt>
                <c:pt idx="3">
                  <c:v>0.39220876605385807</c:v>
                </c:pt>
                <c:pt idx="4">
                  <c:v>0.3552237026425007</c:v>
                </c:pt>
                <c:pt idx="5">
                  <c:v>0.33676367666007384</c:v>
                </c:pt>
                <c:pt idx="6">
                  <c:v>0.3344919724028203</c:v>
                </c:pt>
                <c:pt idx="7">
                  <c:v>0.3447945769528165</c:v>
                </c:pt>
                <c:pt idx="8">
                  <c:v>0.36377806947236757</c:v>
                </c:pt>
                <c:pt idx="9">
                  <c:v>0.3881411541468883</c:v>
                </c:pt>
                <c:pt idx="10">
                  <c:v>0.4154748734599891</c:v>
                </c:pt>
                <c:pt idx="11">
                  <c:v>0.44416863258223116</c:v>
                </c:pt>
                <c:pt idx="12">
                  <c:v>0.47319794715356384</c:v>
                </c:pt>
                <c:pt idx="13">
                  <c:v>0.5019318651907547</c:v>
                </c:pt>
                <c:pt idx="14">
                  <c:v>0.5299934070351342</c:v>
                </c:pt>
                <c:pt idx="15">
                  <c:v>0.5571669045242135</c:v>
                </c:pt>
                <c:pt idx="16">
                  <c:v>0.5833385649431608</c:v>
                </c:pt>
                <c:pt idx="17">
                  <c:v>0.6084587444807741</c:v>
                </c:pt>
              </c:numCache>
            </c:numRef>
          </c:yVal>
          <c:smooth val="1"/>
        </c:ser>
        <c:ser>
          <c:idx val="4"/>
          <c:order val="4"/>
          <c:tx>
            <c:v>PNS @ 50%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'Spot Size PNS'!$B$52:$B$69</c:f>
              <c:numCache>
                <c:ptCount val="18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115</c:v>
                </c:pt>
                <c:pt idx="8">
                  <c:v>120</c:v>
                </c:pt>
                <c:pt idx="9">
                  <c:v>125</c:v>
                </c:pt>
                <c:pt idx="10">
                  <c:v>130</c:v>
                </c:pt>
                <c:pt idx="11">
                  <c:v>135</c:v>
                </c:pt>
                <c:pt idx="12">
                  <c:v>140</c:v>
                </c:pt>
                <c:pt idx="13">
                  <c:v>145</c:v>
                </c:pt>
                <c:pt idx="14">
                  <c:v>150</c:v>
                </c:pt>
                <c:pt idx="15">
                  <c:v>155</c:v>
                </c:pt>
                <c:pt idx="16">
                  <c:v>160</c:v>
                </c:pt>
                <c:pt idx="17">
                  <c:v>165</c:v>
                </c:pt>
              </c:numCache>
            </c:numRef>
          </c:xVal>
          <c:yVal>
            <c:numRef>
              <c:f>'Spot Size PNS'!$D$52:$D$69</c:f>
              <c:numCache>
                <c:ptCount val="18"/>
                <c:pt idx="0">
                  <c:v>0.571792384757084</c:v>
                </c:pt>
                <c:pt idx="1">
                  <c:v>0.4838029652422288</c:v>
                </c:pt>
                <c:pt idx="2">
                  <c:v>0.4139053288989153</c:v>
                </c:pt>
                <c:pt idx="3">
                  <c:v>0.3619140286120682</c:v>
                </c:pt>
                <c:pt idx="4">
                  <c:v>0.3277857416990644</c:v>
                </c:pt>
                <c:pt idx="5">
                  <c:v>0.3107515931796308</c:v>
                </c:pt>
                <c:pt idx="6">
                  <c:v>0.30865535844263087</c:v>
                </c:pt>
                <c:pt idx="7">
                  <c:v>0.3181621758332829</c:v>
                </c:pt>
                <c:pt idx="8">
                  <c:v>0.33567935762400325</c:v>
                </c:pt>
                <c:pt idx="9">
                  <c:v>0.3581606045698319</c:v>
                </c:pt>
                <c:pt idx="10">
                  <c:v>0.3833830303026651</c:v>
                </c:pt>
                <c:pt idx="11">
                  <c:v>0.40986044452377846</c:v>
                </c:pt>
                <c:pt idx="12">
                  <c:v>0.4366474954356421</c:v>
                </c:pt>
                <c:pt idx="13">
                  <c:v>0.4631619666426101</c:v>
                </c:pt>
                <c:pt idx="14">
                  <c:v>0.4890559969065296</c:v>
                </c:pt>
                <c:pt idx="15">
                  <c:v>0.5141305765665121</c:v>
                </c:pt>
                <c:pt idx="16">
                  <c:v>0.5382807024114725</c:v>
                </c:pt>
                <c:pt idx="17">
                  <c:v>0.561460565185568</c:v>
                </c:pt>
              </c:numCache>
            </c:numRef>
          </c:yVal>
          <c:smooth val="1"/>
        </c:ser>
        <c:ser>
          <c:idx val="5"/>
          <c:order val="5"/>
          <c:tx>
            <c:v>PNS @ 87.5%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'Spot Size PNS'!$B$52:$B$69</c:f>
              <c:numCache>
                <c:ptCount val="18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115</c:v>
                </c:pt>
                <c:pt idx="8">
                  <c:v>120</c:v>
                </c:pt>
                <c:pt idx="9">
                  <c:v>125</c:v>
                </c:pt>
                <c:pt idx="10">
                  <c:v>130</c:v>
                </c:pt>
                <c:pt idx="11">
                  <c:v>135</c:v>
                </c:pt>
                <c:pt idx="12">
                  <c:v>140</c:v>
                </c:pt>
                <c:pt idx="13">
                  <c:v>145</c:v>
                </c:pt>
                <c:pt idx="14">
                  <c:v>150</c:v>
                </c:pt>
                <c:pt idx="15">
                  <c:v>155</c:v>
                </c:pt>
                <c:pt idx="16">
                  <c:v>160</c:v>
                </c:pt>
                <c:pt idx="17">
                  <c:v>165</c:v>
                </c:pt>
              </c:numCache>
            </c:numRef>
          </c:xVal>
          <c:yVal>
            <c:numRef>
              <c:f>'Spot Size PNS'!$E$52:$E$69</c:f>
              <c:numCache>
                <c:ptCount val="18"/>
                <c:pt idx="0">
                  <c:v>0.5006744960092451</c:v>
                </c:pt>
                <c:pt idx="1">
                  <c:v>0.42362894688304786</c:v>
                </c:pt>
                <c:pt idx="2">
                  <c:v>0.36242497708322063</c:v>
                </c:pt>
                <c:pt idx="3">
                  <c:v>0.31690020487232945</c:v>
                </c:pt>
                <c:pt idx="4">
                  <c:v>0.28701669591813594</c:v>
                </c:pt>
                <c:pt idx="5">
                  <c:v>0.2721012056942902</c:v>
                </c:pt>
                <c:pt idx="6">
                  <c:v>0.2702656945919339</c:v>
                </c:pt>
                <c:pt idx="7">
                  <c:v>0.2785900814368872</c:v>
                </c:pt>
                <c:pt idx="8">
                  <c:v>0.2939285266459767</c:v>
                </c:pt>
                <c:pt idx="9">
                  <c:v>0.31361362089403083</c:v>
                </c:pt>
                <c:pt idx="10">
                  <c:v>0.33569895401242084</c:v>
                </c:pt>
                <c:pt idx="11">
                  <c:v>0.35888318376815515</c:v>
                </c:pt>
                <c:pt idx="12">
                  <c:v>0.3823385384955079</c:v>
                </c:pt>
                <c:pt idx="13">
                  <c:v>0.40555521619601087</c:v>
                </c:pt>
                <c:pt idx="14">
                  <c:v>0.4282286216096771</c:v>
                </c:pt>
                <c:pt idx="15">
                  <c:v>0.450184497323637</c:v>
                </c:pt>
                <c:pt idx="16">
                  <c:v>0.4713309001235508</c:v>
                </c:pt>
                <c:pt idx="17">
                  <c:v>0.49162771837678154</c:v>
                </c:pt>
              </c:numCache>
            </c:numRef>
          </c:yVal>
          <c:smooth val="1"/>
        </c:ser>
        <c:axId val="48410235"/>
        <c:axId val="33038932"/>
      </c:scatterChart>
      <c:valAx>
        <c:axId val="48410235"/>
        <c:scaling>
          <c:orientation val="minMax"/>
          <c:min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Altitude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038932"/>
        <c:crosses val="autoZero"/>
        <c:crossBetween val="midCat"/>
        <c:dispUnits/>
      </c:valAx>
      <c:valAx>
        <c:axId val="3303893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Spot FWHM (arcsec)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4102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Spot size vs altitude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'Spot Size PNS'!$C$51</c:f>
              <c:strCache>
                <c:ptCount val="1"/>
                <c:pt idx="0">
                  <c:v>37.5% (Challenging)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'Spot Size PNS'!$B$52:$B$69</c:f>
              <c:numCache/>
            </c:numRef>
          </c:xVal>
          <c:yVal>
            <c:numRef>
              <c:f>'Spot Size PNS'!$C$52:$C$69</c:f>
              <c:numCache>
                <c:ptCount val="18"/>
                <c:pt idx="0">
                  <c:v>0.8238305975269791</c:v>
                </c:pt>
                <c:pt idx="1">
                  <c:v>0.6970566530200779</c:v>
                </c:pt>
                <c:pt idx="2">
                  <c:v>0.5963491006822419</c:v>
                </c:pt>
                <c:pt idx="3">
                  <c:v>0.5214407508628067</c:v>
                </c:pt>
                <c:pt idx="4">
                  <c:v>0.472269184837055</c:v>
                </c:pt>
                <c:pt idx="5">
                  <c:v>0.44772661811663167</c:v>
                </c:pt>
                <c:pt idx="6">
                  <c:v>0.4447063919611649</c:v>
                </c:pt>
                <c:pt idx="7">
                  <c:v>0.45840368360111944</c:v>
                </c:pt>
                <c:pt idx="8">
                  <c:v>0.48364219801010283</c:v>
                </c:pt>
                <c:pt idx="9">
                  <c:v>0.5160328691667264</c:v>
                </c:pt>
                <c:pt idx="10">
                  <c:v>0.5523729929887189</c:v>
                </c:pt>
                <c:pt idx="11">
                  <c:v>0.5905212869503275</c:v>
                </c:pt>
                <c:pt idx="12">
                  <c:v>0.6291157011939557</c:v>
                </c:pt>
                <c:pt idx="13">
                  <c:v>0.6673173863506695</c:v>
                </c:pt>
                <c:pt idx="14">
                  <c:v>0.704625148736672</c:v>
                </c:pt>
                <c:pt idx="15">
                  <c:v>0.7407522579718232</c:v>
                </c:pt>
                <c:pt idx="16">
                  <c:v>0.7755474268749091</c:v>
                </c:pt>
                <c:pt idx="17">
                  <c:v>0.8089446541006541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'Spot Size PNS'!$D$51</c:f>
              <c:strCache>
                <c:ptCount val="1"/>
                <c:pt idx="0">
                  <c:v>50% (Design)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'Spot Size PNS'!$B$52:$B$69</c:f>
              <c:numCache/>
            </c:numRef>
          </c:xVal>
          <c:yVal>
            <c:numRef>
              <c:f>'Spot Size PNS'!$D$52:$D$69</c:f>
              <c:numCache>
                <c:ptCount val="18"/>
                <c:pt idx="0">
                  <c:v>0.7601968039748394</c:v>
                </c:pt>
                <c:pt idx="1">
                  <c:v>0.6432150510139186</c:v>
                </c:pt>
                <c:pt idx="2">
                  <c:v>0.5502862867106527</c:v>
                </c:pt>
                <c:pt idx="3">
                  <c:v>0.48116395950561563</c:v>
                </c:pt>
                <c:pt idx="4">
                  <c:v>0.435790471981085</c:v>
                </c:pt>
                <c:pt idx="5">
                  <c:v>0.4131436064261878</c:v>
                </c:pt>
                <c:pt idx="6">
                  <c:v>0.41035666663837334</c:v>
                </c:pt>
                <c:pt idx="7">
                  <c:v>0.42299596088049213</c:v>
                </c:pt>
                <c:pt idx="8">
                  <c:v>0.4462850181798644</c:v>
                </c:pt>
                <c:pt idx="9">
                  <c:v>0.47617378993194875</c:v>
                </c:pt>
                <c:pt idx="10">
                  <c:v>0.5097069532648749</c:v>
                </c:pt>
                <c:pt idx="11">
                  <c:v>0.5449086212215788</c:v>
                </c:pt>
                <c:pt idx="12">
                  <c:v>0.5805219505241983</c:v>
                </c:pt>
                <c:pt idx="13">
                  <c:v>0.6157728856676403</c:v>
                </c:pt>
                <c:pt idx="14">
                  <c:v>0.6501989458485227</c:v>
                </c:pt>
                <c:pt idx="15">
                  <c:v>0.6835355481304509</c:v>
                </c:pt>
                <c:pt idx="16">
                  <c:v>0.7156430909594323</c:v>
                </c:pt>
                <c:pt idx="17">
                  <c:v>0.7464606710236844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'Spot Size PNS'!$E$51</c:f>
              <c:strCache>
                <c:ptCount val="1"/>
                <c:pt idx="0">
                  <c:v>87.5% (Excellent)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'Spot Size PNS'!$B$52:$B$69</c:f>
              <c:numCache/>
            </c:numRef>
          </c:xVal>
          <c:yVal>
            <c:numRef>
              <c:f>'Spot Size PNS'!$E$52:$E$69</c:f>
              <c:numCache>
                <c:ptCount val="18"/>
                <c:pt idx="0">
                  <c:v>0.6656457166001115</c:v>
                </c:pt>
                <c:pt idx="1">
                  <c:v>0.5632138168975774</c:v>
                </c:pt>
                <c:pt idx="2">
                  <c:v>0.48184326445111736</c:v>
                </c:pt>
                <c:pt idx="3">
                  <c:v>0.421318173073588</c:v>
                </c:pt>
                <c:pt idx="4">
                  <c:v>0.38158810914804303</c:v>
                </c:pt>
                <c:pt idx="5">
                  <c:v>0.36175799545614984</c:v>
                </c:pt>
                <c:pt idx="6">
                  <c:v>0.35931768720639007</c:v>
                </c:pt>
                <c:pt idx="7">
                  <c:v>0.370384942460718</c:v>
                </c:pt>
                <c:pt idx="8">
                  <c:v>0.39077737393888884</c:v>
                </c:pt>
                <c:pt idx="9">
                  <c:v>0.41694866640840317</c:v>
                </c:pt>
                <c:pt idx="10">
                  <c:v>0.4463110715381138</c:v>
                </c:pt>
                <c:pt idx="11">
                  <c:v>0.47713445749560823</c:v>
                </c:pt>
                <c:pt idx="12">
                  <c:v>0.5083183035473455</c:v>
                </c:pt>
                <c:pt idx="13">
                  <c:v>0.5391848289809074</c:v>
                </c:pt>
                <c:pt idx="14">
                  <c:v>0.5693290750222346</c:v>
                </c:pt>
                <c:pt idx="15">
                  <c:v>0.5985193667979578</c:v>
                </c:pt>
                <c:pt idx="16">
                  <c:v>0.6266334659929974</c:v>
                </c:pt>
                <c:pt idx="17">
                  <c:v>0.65361804427395</c:v>
                </c:pt>
              </c:numCache>
            </c:numRef>
          </c:yVal>
          <c:smooth val="1"/>
        </c:ser>
        <c:axId val="28914933"/>
        <c:axId val="58907806"/>
      </c:scatterChart>
      <c:valAx>
        <c:axId val="28914933"/>
        <c:scaling>
          <c:orientation val="minMax"/>
          <c:min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Altitude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907806"/>
        <c:crosses val="autoZero"/>
        <c:crossBetween val="midCat"/>
        <c:dispUnits/>
      </c:valAx>
      <c:valAx>
        <c:axId val="5890780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Spot FWHM (arcsec)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149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Spot size vs altitude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'Spot Size central'!$C$51</c:f>
              <c:strCache>
                <c:ptCount val="1"/>
                <c:pt idx="0">
                  <c:v>37.5% (Challenging)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'Spot Size central'!$B$52:$B$69</c:f>
              <c:numCache/>
            </c:numRef>
          </c:xVal>
          <c:yVal>
            <c:numRef>
              <c:f>'Spot Size central'!$C$52:$C$69</c:f>
              <c:numCache>
                <c:ptCount val="18"/>
                <c:pt idx="0">
                  <c:v>0.7129336721287006</c:v>
                </c:pt>
                <c:pt idx="1">
                  <c:v>0.6032249358192632</c:v>
                </c:pt>
                <c:pt idx="2">
                  <c:v>0.5160737601832585</c:v>
                </c:pt>
                <c:pt idx="3">
                  <c:v>0.4512489223219169</c:v>
                </c:pt>
                <c:pt idx="4">
                  <c:v>0.4086964057775016</c:v>
                </c:pt>
                <c:pt idx="5">
                  <c:v>0.387457546395515</c:v>
                </c:pt>
                <c:pt idx="6">
                  <c:v>0.384843876873966</c:v>
                </c:pt>
                <c:pt idx="7">
                  <c:v>0.39669735798574207</c:v>
                </c:pt>
                <c:pt idx="8">
                  <c:v>0.41853848261826093</c:v>
                </c:pt>
                <c:pt idx="9">
                  <c:v>0.4465690027272835</c:v>
                </c:pt>
                <c:pt idx="10">
                  <c:v>0.4780173344593243</c:v>
                </c:pt>
                <c:pt idx="11">
                  <c:v>0.5110304361590584</c:v>
                </c:pt>
                <c:pt idx="12">
                  <c:v>0.5444296053001252</c:v>
                </c:pt>
                <c:pt idx="13">
                  <c:v>0.5774889111356551</c:v>
                </c:pt>
                <c:pt idx="14">
                  <c:v>0.6097746263259374</c:v>
                </c:pt>
                <c:pt idx="15">
                  <c:v>0.6410386176462072</c:v>
                </c:pt>
                <c:pt idx="16">
                  <c:v>0.6711499628826335</c:v>
                </c:pt>
                <c:pt idx="17">
                  <c:v>0.7000515452182469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'Spot Size central'!$D$51</c:f>
              <c:strCache>
                <c:ptCount val="1"/>
                <c:pt idx="0">
                  <c:v>50% (Design)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'Spot Size central'!$B$52:$B$69</c:f>
              <c:numCache/>
            </c:numRef>
          </c:xVal>
          <c:yVal>
            <c:numRef>
              <c:f>'Spot Size central'!$D$52:$D$69</c:f>
              <c:numCache>
                <c:ptCount val="18"/>
                <c:pt idx="0">
                  <c:v>0.657865707616459</c:v>
                </c:pt>
                <c:pt idx="1">
                  <c:v>0.5566310230090061</c:v>
                </c:pt>
                <c:pt idx="2">
                  <c:v>0.47621152247086146</c:v>
                </c:pt>
                <c:pt idx="3">
                  <c:v>0.41639384307377353</c:v>
                </c:pt>
                <c:pt idx="4">
                  <c:v>0.37712814066450245</c:v>
                </c:pt>
                <c:pt idx="5">
                  <c:v>0.3575297996090469</c:v>
                </c:pt>
                <c:pt idx="6">
                  <c:v>0.35511801346892075</c:v>
                </c:pt>
                <c:pt idx="7">
                  <c:v>0.3660559156106907</c:v>
                </c:pt>
                <c:pt idx="8">
                  <c:v>0.386210002131263</c:v>
                </c:pt>
                <c:pt idx="9">
                  <c:v>0.4120754068207636</c:v>
                </c:pt>
                <c:pt idx="10">
                  <c:v>0.4410946267244696</c:v>
                </c:pt>
                <c:pt idx="11">
                  <c:v>0.4715577516396787</c:v>
                </c:pt>
                <c:pt idx="12">
                  <c:v>0.5023771236230401</c:v>
                </c:pt>
                <c:pt idx="13">
                  <c:v>0.5328828838038899</c:v>
                </c:pt>
                <c:pt idx="14">
                  <c:v>0.5626748065309426</c:v>
                </c:pt>
                <c:pt idx="15">
                  <c:v>0.5915239247265088</c:v>
                </c:pt>
                <c:pt idx="16">
                  <c:v>0.619309428786257</c:v>
                </c:pt>
                <c:pt idx="17">
                  <c:v>0.6459786136736855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'Spot Size central'!$E$51</c:f>
              <c:strCache>
                <c:ptCount val="1"/>
                <c:pt idx="0">
                  <c:v>87.5% (Excellent)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'Spot Size central'!$B$52:$B$69</c:f>
              <c:numCache/>
            </c:numRef>
          </c:xVal>
          <c:yVal>
            <c:numRef>
              <c:f>'Spot Size central'!$E$52:$E$69</c:f>
              <c:numCache>
                <c:ptCount val="18"/>
                <c:pt idx="0">
                  <c:v>0.5760422670592747</c:v>
                </c:pt>
                <c:pt idx="1">
                  <c:v>0.487398860736022</c:v>
                </c:pt>
                <c:pt idx="2">
                  <c:v>0.4169817058828822</c:v>
                </c:pt>
                <c:pt idx="3">
                  <c:v>0.36460397703761627</c:v>
                </c:pt>
                <c:pt idx="4">
                  <c:v>0.33022202951908125</c:v>
                </c:pt>
                <c:pt idx="5">
                  <c:v>0.3130612736361089</c:v>
                </c:pt>
                <c:pt idx="6">
                  <c:v>0.310949458504638</c:v>
                </c:pt>
                <c:pt idx="7">
                  <c:v>0.32052693590416004</c:v>
                </c:pt>
                <c:pt idx="8">
                  <c:v>0.33817431523311503</c:v>
                </c:pt>
                <c:pt idx="9">
                  <c:v>0.36082265543879316</c:v>
                </c:pt>
                <c:pt idx="10">
                  <c:v>0.38623254841253</c:v>
                </c:pt>
                <c:pt idx="11">
                  <c:v>0.4129067576541885</c:v>
                </c:pt>
                <c:pt idx="12">
                  <c:v>0.4398929049804721</c:v>
                </c:pt>
                <c:pt idx="13">
                  <c:v>0.4666044466363266</c:v>
                </c:pt>
                <c:pt idx="14">
                  <c:v>0.4926909358834087</c:v>
                </c:pt>
                <c:pt idx="15">
                  <c:v>0.5179518839092035</c:v>
                </c:pt>
                <c:pt idx="16">
                  <c:v>0.5422815070597586</c:v>
                </c:pt>
                <c:pt idx="17">
                  <c:v>0.5656336555991003</c:v>
                </c:pt>
              </c:numCache>
            </c:numRef>
          </c:yVal>
          <c:smooth val="1"/>
        </c:ser>
        <c:axId val="60408207"/>
        <c:axId val="6802952"/>
      </c:scatterChart>
      <c:valAx>
        <c:axId val="60408207"/>
        <c:scaling>
          <c:orientation val="minMax"/>
          <c:min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Altitude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02952"/>
        <c:crosses val="autoZero"/>
        <c:crossBetween val="midCat"/>
        <c:dispUnits/>
      </c:valAx>
      <c:valAx>
        <c:axId val="680295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Spot FWHM (arcsec)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4082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30</xdr:row>
      <xdr:rowOff>152400</xdr:rowOff>
    </xdr:from>
    <xdr:to>
      <xdr:col>9</xdr:col>
      <xdr:colOff>228600</xdr:colOff>
      <xdr:row>58</xdr:row>
      <xdr:rowOff>114300</xdr:rowOff>
    </xdr:to>
    <xdr:graphicFrame>
      <xdr:nvGraphicFramePr>
        <xdr:cNvPr id="1" name="Chart 1"/>
        <xdr:cNvGraphicFramePr/>
      </xdr:nvGraphicFramePr>
      <xdr:xfrm>
        <a:off x="114300" y="6162675"/>
        <a:ext cx="71151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48</xdr:row>
      <xdr:rowOff>28575</xdr:rowOff>
    </xdr:from>
    <xdr:to>
      <xdr:col>13</xdr:col>
      <xdr:colOff>38100</xdr:colOff>
      <xdr:row>71</xdr:row>
      <xdr:rowOff>0</xdr:rowOff>
    </xdr:to>
    <xdr:graphicFrame>
      <xdr:nvGraphicFramePr>
        <xdr:cNvPr id="1" name="Chart 1"/>
        <xdr:cNvGraphicFramePr/>
      </xdr:nvGraphicFramePr>
      <xdr:xfrm>
        <a:off x="5524500" y="8677275"/>
        <a:ext cx="58959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48</xdr:row>
      <xdr:rowOff>28575</xdr:rowOff>
    </xdr:from>
    <xdr:to>
      <xdr:col>13</xdr:col>
      <xdr:colOff>38100</xdr:colOff>
      <xdr:row>71</xdr:row>
      <xdr:rowOff>0</xdr:rowOff>
    </xdr:to>
    <xdr:graphicFrame>
      <xdr:nvGraphicFramePr>
        <xdr:cNvPr id="1" name="Chart 1"/>
        <xdr:cNvGraphicFramePr/>
      </xdr:nvGraphicFramePr>
      <xdr:xfrm>
        <a:off x="5524500" y="8677275"/>
        <a:ext cx="58959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22.28125" style="2" customWidth="1"/>
    <col min="2" max="2" width="12.421875" style="1" customWidth="1"/>
    <col min="3" max="3" width="12.8515625" style="0" customWidth="1"/>
    <col min="5" max="5" width="11.7109375" style="0" customWidth="1"/>
    <col min="12" max="12" width="11.421875" style="0" customWidth="1"/>
  </cols>
  <sheetData>
    <row r="1" ht="20.25">
      <c r="A1" s="13" t="s">
        <v>86</v>
      </c>
    </row>
    <row r="3" spans="1:2" ht="26.25" thickBot="1">
      <c r="A3" s="11" t="s">
        <v>98</v>
      </c>
      <c r="B3" s="10" t="s">
        <v>2</v>
      </c>
    </row>
    <row r="4" spans="1:4" ht="13.5" thickTop="1">
      <c r="A4" s="2" t="s">
        <v>83</v>
      </c>
      <c r="B4" s="46">
        <v>0.999</v>
      </c>
      <c r="D4" t="s">
        <v>119</v>
      </c>
    </row>
    <row r="5" spans="1:4" ht="12.75">
      <c r="A5" s="2" t="s">
        <v>84</v>
      </c>
      <c r="B5" s="46">
        <v>0.9975</v>
      </c>
      <c r="D5" t="s">
        <v>120</v>
      </c>
    </row>
    <row r="6" spans="1:2" ht="12.75">
      <c r="A6" s="2" t="s">
        <v>118</v>
      </c>
      <c r="B6" s="46">
        <v>0.001</v>
      </c>
    </row>
    <row r="7" ht="12.75">
      <c r="B7" s="41"/>
    </row>
    <row r="8" spans="1:2" ht="13.5" thickBot="1">
      <c r="A8" s="30" t="s">
        <v>85</v>
      </c>
      <c r="B8" s="47" t="s">
        <v>2</v>
      </c>
    </row>
    <row r="9" spans="1:7" ht="16.5" thickTop="1">
      <c r="A9" s="31" t="s">
        <v>93</v>
      </c>
      <c r="B9" s="48">
        <f>Trans_PNS!F40</f>
        <v>0.8288447078449869</v>
      </c>
      <c r="E9" s="20" t="s">
        <v>107</v>
      </c>
      <c r="F9" s="21"/>
      <c r="G9" s="22"/>
    </row>
    <row r="10" spans="1:7" ht="12.75">
      <c r="A10" s="32" t="s">
        <v>95</v>
      </c>
      <c r="B10" s="49">
        <f>Trans_central!F39</f>
        <v>0.8380200911812046</v>
      </c>
      <c r="E10" s="23"/>
      <c r="F10" s="19"/>
      <c r="G10" s="24"/>
    </row>
    <row r="11" spans="1:7" ht="12.75">
      <c r="A11" s="2" t="s">
        <v>110</v>
      </c>
      <c r="B11" s="41">
        <v>0.75</v>
      </c>
      <c r="E11" s="23" t="s">
        <v>108</v>
      </c>
      <c r="F11" s="19"/>
      <c r="G11" s="25"/>
    </row>
    <row r="12" spans="5:7" ht="12.75">
      <c r="E12" s="23" t="s">
        <v>109</v>
      </c>
      <c r="F12" s="19"/>
      <c r="G12" s="26"/>
    </row>
    <row r="13" spans="5:14" ht="13.5" thickBot="1">
      <c r="E13" s="27"/>
      <c r="F13" s="28"/>
      <c r="G13" s="29"/>
      <c r="L13" s="19"/>
      <c r="M13" s="19"/>
      <c r="N13" s="39"/>
    </row>
    <row r="14" spans="12:14" ht="12.75">
      <c r="L14" s="19"/>
      <c r="M14" s="19"/>
      <c r="N14" s="19"/>
    </row>
    <row r="15" ht="20.25">
      <c r="A15" s="13" t="s">
        <v>87</v>
      </c>
    </row>
    <row r="17" spans="1:3" s="2" customFormat="1" ht="26.25" thickBot="1">
      <c r="A17" s="11" t="s">
        <v>97</v>
      </c>
      <c r="B17" s="12" t="s">
        <v>89</v>
      </c>
      <c r="C17" s="11" t="s">
        <v>90</v>
      </c>
    </row>
    <row r="18" spans="1:5" ht="13.5" thickTop="1">
      <c r="A18" s="2" t="s">
        <v>91</v>
      </c>
      <c r="B18" s="33">
        <v>0.1</v>
      </c>
      <c r="C18" s="15">
        <f>632.8*B18/3</f>
        <v>21.093333333333334</v>
      </c>
      <c r="E18" s="14" t="s">
        <v>104</v>
      </c>
    </row>
    <row r="19" spans="1:5" ht="12.75">
      <c r="A19" s="2" t="s">
        <v>92</v>
      </c>
      <c r="B19" s="33">
        <v>0.05</v>
      </c>
      <c r="C19" s="15">
        <f>632.8*B19/3</f>
        <v>10.546666666666667</v>
      </c>
      <c r="E19" s="14" t="s">
        <v>104</v>
      </c>
    </row>
    <row r="20" spans="1:5" ht="12.75">
      <c r="A20" s="2" t="s">
        <v>88</v>
      </c>
      <c r="B20" s="33">
        <v>0.1</v>
      </c>
      <c r="C20" s="15">
        <f>632.8*B20/3</f>
        <v>21.093333333333334</v>
      </c>
      <c r="E20" s="14" t="s">
        <v>104</v>
      </c>
    </row>
    <row r="21" spans="1:5" ht="25.5">
      <c r="A21" s="2" t="s">
        <v>111</v>
      </c>
      <c r="C21" s="38">
        <v>19</v>
      </c>
      <c r="E21" s="14" t="s">
        <v>105</v>
      </c>
    </row>
    <row r="22" spans="1:5" ht="25.5">
      <c r="A22" s="2" t="s">
        <v>112</v>
      </c>
      <c r="C22" s="38">
        <v>33.5</v>
      </c>
      <c r="E22" s="14" t="s">
        <v>106</v>
      </c>
    </row>
    <row r="25" s="14" customFormat="1" ht="12.75">
      <c r="C25" s="76" t="s">
        <v>153</v>
      </c>
    </row>
    <row r="26" spans="1:5" s="2" customFormat="1" ht="28.5" customHeight="1" thickBot="1">
      <c r="A26" s="30" t="s">
        <v>94</v>
      </c>
      <c r="B26" s="30" t="s">
        <v>96</v>
      </c>
      <c r="C26" s="77" t="s">
        <v>46</v>
      </c>
      <c r="D26" s="77" t="s">
        <v>141</v>
      </c>
      <c r="E26" s="77" t="s">
        <v>142</v>
      </c>
    </row>
    <row r="27" spans="1:5" ht="13.5" thickTop="1">
      <c r="A27" s="31" t="s">
        <v>93</v>
      </c>
      <c r="B27" s="34">
        <f>'RMSwfe PNS'!E43</f>
        <v>118.33638815599181</v>
      </c>
      <c r="C27" s="35">
        <f>'Spot Size PNS'!C44</f>
        <v>0.6137984842369043</v>
      </c>
      <c r="D27" s="35">
        <f>'Spot Size PNS'!D44</f>
        <v>0.5663878561949702</v>
      </c>
      <c r="E27" s="35">
        <f>'Spot Size PNS'!E44</f>
        <v>0.4959421671320023</v>
      </c>
    </row>
    <row r="28" spans="1:5" ht="12.75">
      <c r="A28" s="32" t="s">
        <v>95</v>
      </c>
      <c r="B28" s="36">
        <f>'RMSwfe central'!E41</f>
        <v>110.13595681714388</v>
      </c>
      <c r="C28" s="37">
        <f>'Spot Size central'!C44</f>
        <v>0.5517326823209254</v>
      </c>
      <c r="D28" s="37">
        <f>'Spot Size central'!D44</f>
        <v>0.5091161010619855</v>
      </c>
      <c r="E28" s="37">
        <f>'Spot Size central'!E44</f>
        <v>0.44579370782900435</v>
      </c>
    </row>
    <row r="29" spans="1:4" ht="12.75">
      <c r="A29" s="2" t="s">
        <v>110</v>
      </c>
      <c r="B29"/>
      <c r="D29" s="6">
        <v>0.9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2"/>
  <sheetViews>
    <sheetView workbookViewId="0" topLeftCell="A1">
      <selection activeCell="G12" sqref="G11:G12"/>
    </sheetView>
  </sheetViews>
  <sheetFormatPr defaultColWidth="9.140625" defaultRowHeight="12.75"/>
  <cols>
    <col min="2" max="2" width="29.57421875" style="0" customWidth="1"/>
    <col min="3" max="3" width="11.00390625" style="0" customWidth="1"/>
    <col min="4" max="4" width="13.28125" style="41" customWidth="1"/>
    <col min="5" max="5" width="10.8515625" style="41" customWidth="1"/>
    <col min="6" max="6" width="13.57421875" style="41" customWidth="1"/>
    <col min="7" max="7" width="10.421875" style="50" customWidth="1"/>
    <col min="8" max="8" width="55.421875" style="0" customWidth="1"/>
  </cols>
  <sheetData>
    <row r="1" spans="6:7" ht="12.75">
      <c r="F1" s="41" t="s">
        <v>60</v>
      </c>
      <c r="G1" s="50">
        <f>Summary!B4</f>
        <v>0.999</v>
      </c>
    </row>
    <row r="2" spans="2:7" ht="15">
      <c r="B2" s="4" t="s">
        <v>19</v>
      </c>
      <c r="F2" s="41" t="s">
        <v>61</v>
      </c>
      <c r="G2" s="50">
        <f>Summary!B5</f>
        <v>0.9975</v>
      </c>
    </row>
    <row r="3" spans="2:7" ht="12.75">
      <c r="B3" s="3" t="s">
        <v>62</v>
      </c>
      <c r="F3" s="43" t="s">
        <v>114</v>
      </c>
      <c r="G3" s="50">
        <f>Summary!B6</f>
        <v>0.001</v>
      </c>
    </row>
    <row r="5" spans="2:7" s="2" customFormat="1" ht="25.5" customHeight="1">
      <c r="B5" s="5" t="s">
        <v>0</v>
      </c>
      <c r="C5" s="5" t="s">
        <v>1</v>
      </c>
      <c r="D5" s="42" t="s">
        <v>16</v>
      </c>
      <c r="E5" s="42" t="s">
        <v>113</v>
      </c>
      <c r="F5" s="42" t="s">
        <v>117</v>
      </c>
      <c r="G5" s="5" t="s">
        <v>3</v>
      </c>
    </row>
    <row r="6" ht="12.75">
      <c r="G6"/>
    </row>
    <row r="7" spans="2:7" ht="12.75">
      <c r="B7" s="3" t="s">
        <v>65</v>
      </c>
      <c r="C7">
        <v>1</v>
      </c>
      <c r="D7" s="41">
        <f>$G$1</f>
        <v>0.999</v>
      </c>
      <c r="E7" s="41">
        <f>$G$3</f>
        <v>0.001</v>
      </c>
      <c r="F7" s="41">
        <f>(D7*(1-E7))^(C7)</f>
        <v>0.998001</v>
      </c>
      <c r="G7" t="s">
        <v>4</v>
      </c>
    </row>
    <row r="8" spans="2:7" ht="12.75">
      <c r="B8" s="3" t="s">
        <v>69</v>
      </c>
      <c r="C8">
        <v>2</v>
      </c>
      <c r="D8" s="41">
        <f>$G$2</f>
        <v>0.9975</v>
      </c>
      <c r="E8" s="41">
        <f>$G$3</f>
        <v>0.001</v>
      </c>
      <c r="F8" s="41">
        <f aca="true" t="shared" si="0" ref="F8:F37">(D8*(1-E8))^(C8)</f>
        <v>0.9930172325062502</v>
      </c>
      <c r="G8" t="s">
        <v>70</v>
      </c>
    </row>
    <row r="9" spans="2:7" ht="12.75">
      <c r="B9" s="3" t="s">
        <v>9</v>
      </c>
      <c r="C9">
        <v>2</v>
      </c>
      <c r="D9" s="41">
        <f>$G$2</f>
        <v>0.9975</v>
      </c>
      <c r="E9" s="41">
        <f>$G$3</f>
        <v>0.001</v>
      </c>
      <c r="F9" s="41">
        <f t="shared" si="0"/>
        <v>0.9930172325062502</v>
      </c>
      <c r="G9" t="s">
        <v>70</v>
      </c>
    </row>
    <row r="10" spans="2:7" ht="12.75">
      <c r="B10" s="3" t="s">
        <v>66</v>
      </c>
      <c r="C10">
        <v>1</v>
      </c>
      <c r="D10" s="41">
        <f>$G$1</f>
        <v>0.999</v>
      </c>
      <c r="E10" s="41">
        <f>$G$3</f>
        <v>0.001</v>
      </c>
      <c r="F10" s="41">
        <f t="shared" si="0"/>
        <v>0.998001</v>
      </c>
      <c r="G10" t="s">
        <v>4</v>
      </c>
    </row>
    <row r="11" spans="2:7" ht="12.75">
      <c r="B11" s="3"/>
      <c r="G11"/>
    </row>
    <row r="12" spans="2:7" ht="12.75">
      <c r="B12" s="3" t="s">
        <v>63</v>
      </c>
      <c r="C12">
        <v>1</v>
      </c>
      <c r="D12" s="41">
        <f>$G$1</f>
        <v>0.999</v>
      </c>
      <c r="E12" s="41">
        <f>$G$3</f>
        <v>0.001</v>
      </c>
      <c r="F12" s="41">
        <f t="shared" si="0"/>
        <v>0.998001</v>
      </c>
      <c r="G12" t="s">
        <v>121</v>
      </c>
    </row>
    <row r="13" spans="2:7" ht="12.75">
      <c r="B13" s="3" t="s">
        <v>64</v>
      </c>
      <c r="C13">
        <v>1</v>
      </c>
      <c r="D13" s="41">
        <f>$G$1</f>
        <v>0.999</v>
      </c>
      <c r="E13" s="41">
        <f aca="true" t="shared" si="1" ref="E13:E31">$G$3</f>
        <v>0.001</v>
      </c>
      <c r="F13" s="41">
        <f t="shared" si="0"/>
        <v>0.998001</v>
      </c>
      <c r="G13" t="s">
        <v>122</v>
      </c>
    </row>
    <row r="14" spans="2:7" ht="12.75">
      <c r="B14" s="3" t="s">
        <v>71</v>
      </c>
      <c r="C14">
        <v>1</v>
      </c>
      <c r="D14" s="41">
        <f>$G$1</f>
        <v>0.999</v>
      </c>
      <c r="E14" s="41">
        <f t="shared" si="1"/>
        <v>0.001</v>
      </c>
      <c r="F14" s="41">
        <f t="shared" si="0"/>
        <v>0.998001</v>
      </c>
      <c r="G14" t="s">
        <v>123</v>
      </c>
    </row>
    <row r="15" spans="2:7" ht="12.75">
      <c r="B15" s="3" t="s">
        <v>72</v>
      </c>
      <c r="C15">
        <v>1</v>
      </c>
      <c r="D15" s="41">
        <f>$G$1</f>
        <v>0.999</v>
      </c>
      <c r="E15" s="41">
        <f t="shared" si="1"/>
        <v>0.001</v>
      </c>
      <c r="F15" s="41">
        <f t="shared" si="0"/>
        <v>0.998001</v>
      </c>
      <c r="G15" t="s">
        <v>124</v>
      </c>
    </row>
    <row r="16" spans="2:7" ht="12.75">
      <c r="B16" s="3"/>
      <c r="G16"/>
    </row>
    <row r="17" spans="2:7" ht="12.75">
      <c r="B17" s="3" t="s">
        <v>18</v>
      </c>
      <c r="C17">
        <v>2</v>
      </c>
      <c r="D17" s="41">
        <f>$G$2</f>
        <v>0.9975</v>
      </c>
      <c r="E17" s="41">
        <f t="shared" si="1"/>
        <v>0.001</v>
      </c>
      <c r="F17" s="41">
        <f t="shared" si="0"/>
        <v>0.9930172325062502</v>
      </c>
      <c r="G17" t="s">
        <v>125</v>
      </c>
    </row>
    <row r="18" spans="2:7" ht="12.75">
      <c r="B18" s="3" t="s">
        <v>59</v>
      </c>
      <c r="C18">
        <v>2</v>
      </c>
      <c r="D18" s="41">
        <f>$G$2</f>
        <v>0.9975</v>
      </c>
      <c r="E18" s="41">
        <f t="shared" si="1"/>
        <v>0.001</v>
      </c>
      <c r="F18" s="41">
        <f t="shared" si="0"/>
        <v>0.9930172325062502</v>
      </c>
      <c r="G18" t="s">
        <v>125</v>
      </c>
    </row>
    <row r="19" spans="2:7" ht="12.75">
      <c r="B19" s="3" t="s">
        <v>23</v>
      </c>
      <c r="C19">
        <v>1</v>
      </c>
      <c r="D19" s="41">
        <f>$G$1</f>
        <v>0.999</v>
      </c>
      <c r="E19" s="41">
        <f t="shared" si="1"/>
        <v>0.001</v>
      </c>
      <c r="F19" s="41">
        <f t="shared" si="0"/>
        <v>0.998001</v>
      </c>
      <c r="G19"/>
    </row>
    <row r="20" spans="2:7" ht="12.75">
      <c r="B20" s="3" t="s">
        <v>73</v>
      </c>
      <c r="C20">
        <v>1</v>
      </c>
      <c r="D20" s="41">
        <f>$G$1</f>
        <v>0.999</v>
      </c>
      <c r="E20" s="41">
        <f t="shared" si="1"/>
        <v>0.001</v>
      </c>
      <c r="F20" s="41">
        <f t="shared" si="0"/>
        <v>0.998001</v>
      </c>
      <c r="G20"/>
    </row>
    <row r="21" spans="2:7" ht="12.75">
      <c r="B21" s="3" t="s">
        <v>74</v>
      </c>
      <c r="C21">
        <v>1</v>
      </c>
      <c r="D21" s="41">
        <f>$G$1</f>
        <v>0.999</v>
      </c>
      <c r="E21" s="41">
        <f t="shared" si="1"/>
        <v>0.001</v>
      </c>
      <c r="F21" s="41">
        <f t="shared" si="0"/>
        <v>0.998001</v>
      </c>
      <c r="G21"/>
    </row>
    <row r="22" spans="2:7" ht="12.75">
      <c r="B22" s="3" t="s">
        <v>58</v>
      </c>
      <c r="C22">
        <v>2</v>
      </c>
      <c r="D22" s="41">
        <f>$G$2</f>
        <v>0.9975</v>
      </c>
      <c r="E22" s="41">
        <f t="shared" si="1"/>
        <v>0.001</v>
      </c>
      <c r="F22" s="41">
        <f t="shared" si="0"/>
        <v>0.9930172325062502</v>
      </c>
      <c r="G22" t="s">
        <v>126</v>
      </c>
    </row>
    <row r="23" spans="2:7" ht="12.75">
      <c r="B23" s="3" t="s">
        <v>57</v>
      </c>
      <c r="C23">
        <v>2</v>
      </c>
      <c r="D23" s="41">
        <f>$G$2</f>
        <v>0.9975</v>
      </c>
      <c r="E23" s="41">
        <f t="shared" si="1"/>
        <v>0.001</v>
      </c>
      <c r="F23" s="41">
        <f t="shared" si="0"/>
        <v>0.9930172325062502</v>
      </c>
      <c r="G23" t="s">
        <v>127</v>
      </c>
    </row>
    <row r="24" spans="2:7" ht="12.75">
      <c r="B24" s="3" t="s">
        <v>75</v>
      </c>
      <c r="C24">
        <v>1</v>
      </c>
      <c r="D24" s="41">
        <f>$G$1</f>
        <v>0.999</v>
      </c>
      <c r="E24" s="41">
        <f t="shared" si="1"/>
        <v>0.001</v>
      </c>
      <c r="F24" s="41">
        <f t="shared" si="0"/>
        <v>0.998001</v>
      </c>
      <c r="G24" t="s">
        <v>79</v>
      </c>
    </row>
    <row r="25" spans="2:7" ht="12.75">
      <c r="B25" s="3" t="s">
        <v>17</v>
      </c>
      <c r="C25">
        <v>3</v>
      </c>
      <c r="D25" s="41">
        <f>$G$1</f>
        <v>0.999</v>
      </c>
      <c r="E25" s="41">
        <f t="shared" si="1"/>
        <v>0.001</v>
      </c>
      <c r="F25" s="41">
        <f t="shared" si="0"/>
        <v>0.9940149800149941</v>
      </c>
      <c r="G25"/>
    </row>
    <row r="26" spans="2:7" ht="12.75">
      <c r="B26" s="3" t="s">
        <v>55</v>
      </c>
      <c r="C26">
        <v>1</v>
      </c>
      <c r="D26" s="41">
        <f>$G$1</f>
        <v>0.999</v>
      </c>
      <c r="E26" s="41">
        <f t="shared" si="1"/>
        <v>0.001</v>
      </c>
      <c r="F26" s="41">
        <f t="shared" si="0"/>
        <v>0.998001</v>
      </c>
      <c r="G26"/>
    </row>
    <row r="27" spans="2:7" ht="25.5">
      <c r="B27" s="5" t="s">
        <v>53</v>
      </c>
      <c r="C27">
        <v>2</v>
      </c>
      <c r="D27" s="41">
        <f>$G$2</f>
        <v>0.9975</v>
      </c>
      <c r="E27" s="41">
        <f t="shared" si="1"/>
        <v>0.001</v>
      </c>
      <c r="F27" s="41">
        <f t="shared" si="0"/>
        <v>0.9930172325062502</v>
      </c>
      <c r="G27"/>
    </row>
    <row r="28" spans="2:7" ht="25.5">
      <c r="B28" s="5" t="s">
        <v>54</v>
      </c>
      <c r="C28">
        <v>2</v>
      </c>
      <c r="D28" s="41">
        <f>$G$2</f>
        <v>0.9975</v>
      </c>
      <c r="E28" s="41">
        <f t="shared" si="1"/>
        <v>0.001</v>
      </c>
      <c r="F28" s="41">
        <f t="shared" si="0"/>
        <v>0.9930172325062502</v>
      </c>
      <c r="G28"/>
    </row>
    <row r="29" spans="2:7" ht="12.75">
      <c r="B29" s="5" t="s">
        <v>56</v>
      </c>
      <c r="C29">
        <v>1</v>
      </c>
      <c r="D29" s="41">
        <f>$G$1</f>
        <v>0.999</v>
      </c>
      <c r="E29" s="41">
        <f t="shared" si="1"/>
        <v>0.001</v>
      </c>
      <c r="F29" s="41">
        <f t="shared" si="0"/>
        <v>0.998001</v>
      </c>
      <c r="G29" t="s">
        <v>80</v>
      </c>
    </row>
    <row r="30" spans="2:7" ht="12.75">
      <c r="B30" s="3" t="s">
        <v>6</v>
      </c>
      <c r="C30" t="s">
        <v>6</v>
      </c>
      <c r="G30"/>
    </row>
    <row r="31" spans="2:7" ht="12.75">
      <c r="B31" s="3" t="s">
        <v>115</v>
      </c>
      <c r="C31">
        <v>1</v>
      </c>
      <c r="D31" s="41">
        <f>$G$2</f>
        <v>0.9975</v>
      </c>
      <c r="E31" s="41">
        <f t="shared" si="1"/>
        <v>0.001</v>
      </c>
      <c r="F31" s="41">
        <f>(D31*(1-E31))^(C31)</f>
        <v>0.9965025000000001</v>
      </c>
      <c r="G31"/>
    </row>
    <row r="32" spans="2:7" ht="12.75">
      <c r="B32" s="3" t="s">
        <v>116</v>
      </c>
      <c r="C32">
        <v>1</v>
      </c>
      <c r="D32" s="41">
        <f>$G$2</f>
        <v>0.9975</v>
      </c>
      <c r="E32" s="41">
        <v>0.0005</v>
      </c>
      <c r="F32" s="41">
        <f t="shared" si="0"/>
        <v>0.9970012500000001</v>
      </c>
      <c r="G32"/>
    </row>
    <row r="33" spans="2:7" ht="12.75">
      <c r="B33" s="3" t="s">
        <v>21</v>
      </c>
      <c r="C33">
        <v>1</v>
      </c>
      <c r="D33" s="41">
        <v>0.996</v>
      </c>
      <c r="E33" s="41">
        <v>0.0005</v>
      </c>
      <c r="F33" s="41">
        <f t="shared" si="0"/>
        <v>0.995502</v>
      </c>
      <c r="G33" t="s">
        <v>81</v>
      </c>
    </row>
    <row r="34" spans="2:7" ht="12.75">
      <c r="B34" s="3" t="s">
        <v>10</v>
      </c>
      <c r="C34">
        <v>1</v>
      </c>
      <c r="D34" s="41">
        <v>0.996</v>
      </c>
      <c r="E34" s="41">
        <v>0.0005</v>
      </c>
      <c r="F34" s="41">
        <f t="shared" si="0"/>
        <v>0.995502</v>
      </c>
      <c r="G34" t="s">
        <v>81</v>
      </c>
    </row>
    <row r="35" spans="2:7" ht="12.75">
      <c r="B35" s="3" t="s">
        <v>11</v>
      </c>
      <c r="C35">
        <v>1</v>
      </c>
      <c r="D35" s="41">
        <v>0.996</v>
      </c>
      <c r="E35" s="41">
        <v>0.0005</v>
      </c>
      <c r="F35" s="41">
        <f t="shared" si="0"/>
        <v>0.995502</v>
      </c>
      <c r="G35" t="s">
        <v>81</v>
      </c>
    </row>
    <row r="36" spans="2:7" ht="12.75">
      <c r="B36" s="3" t="s">
        <v>76</v>
      </c>
      <c r="C36">
        <v>1</v>
      </c>
      <c r="D36" s="41">
        <v>0.98</v>
      </c>
      <c r="E36" s="41">
        <v>0.0005</v>
      </c>
      <c r="F36" s="41">
        <f t="shared" si="0"/>
        <v>0.97951</v>
      </c>
      <c r="G36" t="s">
        <v>81</v>
      </c>
    </row>
    <row r="37" spans="2:7" ht="12.75">
      <c r="B37" s="3" t="s">
        <v>77</v>
      </c>
      <c r="C37">
        <v>1</v>
      </c>
      <c r="D37" s="41">
        <v>0.9886</v>
      </c>
      <c r="E37" s="41">
        <v>0.0034</v>
      </c>
      <c r="F37" s="41">
        <f t="shared" si="0"/>
        <v>0.9852387600000001</v>
      </c>
      <c r="G37" t="s">
        <v>81</v>
      </c>
    </row>
    <row r="38" spans="2:7" ht="12.75">
      <c r="B38" s="3" t="s">
        <v>78</v>
      </c>
      <c r="F38" s="41">
        <v>0.955</v>
      </c>
      <c r="G38" t="s">
        <v>14</v>
      </c>
    </row>
    <row r="40" spans="2:8" ht="12.75">
      <c r="B40" t="s">
        <v>22</v>
      </c>
      <c r="F40" s="44">
        <f>PRODUCT(F7:F39)</f>
        <v>0.8288447078449869</v>
      </c>
      <c r="H40" s="2"/>
    </row>
    <row r="41" ht="12.75">
      <c r="H41" t="s">
        <v>6</v>
      </c>
    </row>
    <row r="42" spans="2:8" ht="12.75">
      <c r="B42" t="s">
        <v>41</v>
      </c>
      <c r="F42" s="45">
        <v>0.75</v>
      </c>
      <c r="H42" t="s">
        <v>43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1"/>
  <sheetViews>
    <sheetView workbookViewId="0" topLeftCell="A1">
      <selection activeCell="G12" sqref="G12:G15"/>
    </sheetView>
  </sheetViews>
  <sheetFormatPr defaultColWidth="9.140625" defaultRowHeight="12.75"/>
  <cols>
    <col min="2" max="2" width="30.140625" style="0" customWidth="1"/>
    <col min="3" max="3" width="10.8515625" style="0" customWidth="1"/>
    <col min="4" max="4" width="13.57421875" style="41" customWidth="1"/>
    <col min="5" max="5" width="10.421875" style="41" customWidth="1"/>
    <col min="6" max="6" width="13.421875" style="41" customWidth="1"/>
    <col min="7" max="7" width="11.57421875" style="41" customWidth="1"/>
    <col min="8" max="8" width="55.421875" style="0" customWidth="1"/>
  </cols>
  <sheetData>
    <row r="1" spans="6:7" ht="12.75">
      <c r="F1" s="41" t="s">
        <v>60</v>
      </c>
      <c r="G1" s="41">
        <f>Summary!B4</f>
        <v>0.999</v>
      </c>
    </row>
    <row r="2" spans="2:7" ht="15">
      <c r="B2" s="4" t="s">
        <v>19</v>
      </c>
      <c r="F2" s="41" t="s">
        <v>61</v>
      </c>
      <c r="G2" s="41">
        <f>Summary!B5</f>
        <v>0.9975</v>
      </c>
    </row>
    <row r="3" spans="2:7" ht="12.75">
      <c r="B3" s="3" t="s">
        <v>62</v>
      </c>
      <c r="F3" s="43" t="s">
        <v>114</v>
      </c>
      <c r="G3" s="41">
        <f>Summary!B6</f>
        <v>0.001</v>
      </c>
    </row>
    <row r="5" spans="2:7" s="2" customFormat="1" ht="25.5" customHeight="1">
      <c r="B5" s="5" t="s">
        <v>0</v>
      </c>
      <c r="C5" s="5" t="s">
        <v>1</v>
      </c>
      <c r="D5" s="42" t="s">
        <v>16</v>
      </c>
      <c r="E5" s="42" t="s">
        <v>113</v>
      </c>
      <c r="F5" s="42" t="s">
        <v>117</v>
      </c>
      <c r="G5" s="5" t="s">
        <v>3</v>
      </c>
    </row>
    <row r="6" ht="12.75">
      <c r="G6"/>
    </row>
    <row r="7" spans="2:7" ht="12.75">
      <c r="B7" s="3" t="s">
        <v>65</v>
      </c>
      <c r="C7">
        <v>1</v>
      </c>
      <c r="D7" s="41">
        <f>$G$1</f>
        <v>0.999</v>
      </c>
      <c r="E7" s="41">
        <f>$G$3</f>
        <v>0.001</v>
      </c>
      <c r="F7" s="41">
        <f>(D7*(1-E7))^(C7)</f>
        <v>0.998001</v>
      </c>
      <c r="G7" t="s">
        <v>4</v>
      </c>
    </row>
    <row r="8" spans="2:7" ht="12.75">
      <c r="B8" s="3" t="s">
        <v>69</v>
      </c>
      <c r="C8">
        <v>2</v>
      </c>
      <c r="D8" s="41">
        <f>$G$2</f>
        <v>0.9975</v>
      </c>
      <c r="E8" s="41">
        <f aca="true" t="shared" si="0" ref="E8:E28">$G$3</f>
        <v>0.001</v>
      </c>
      <c r="F8" s="41">
        <f aca="true" t="shared" si="1" ref="F8:F36">(D8*(1-E8))^(C8)</f>
        <v>0.9930172325062502</v>
      </c>
      <c r="G8" t="s">
        <v>70</v>
      </c>
    </row>
    <row r="9" spans="2:7" ht="12.75">
      <c r="B9" s="3" t="s">
        <v>9</v>
      </c>
      <c r="C9">
        <v>2</v>
      </c>
      <c r="D9" s="41">
        <f>$G$2</f>
        <v>0.9975</v>
      </c>
      <c r="E9" s="41">
        <f t="shared" si="0"/>
        <v>0.001</v>
      </c>
      <c r="F9" s="41">
        <f t="shared" si="1"/>
        <v>0.9930172325062502</v>
      </c>
      <c r="G9" t="s">
        <v>70</v>
      </c>
    </row>
    <row r="10" spans="2:7" ht="12.75">
      <c r="B10" s="3" t="s">
        <v>66</v>
      </c>
      <c r="C10">
        <v>1</v>
      </c>
      <c r="D10" s="41">
        <f>$G$1</f>
        <v>0.999</v>
      </c>
      <c r="E10" s="41">
        <f t="shared" si="0"/>
        <v>0.001</v>
      </c>
      <c r="F10" s="41">
        <f t="shared" si="1"/>
        <v>0.998001</v>
      </c>
      <c r="G10" t="s">
        <v>4</v>
      </c>
    </row>
    <row r="11" spans="2:7" ht="12.75">
      <c r="B11" s="3"/>
      <c r="G11"/>
    </row>
    <row r="12" spans="2:7" ht="12.75">
      <c r="B12" s="3" t="s">
        <v>63</v>
      </c>
      <c r="C12">
        <v>1</v>
      </c>
      <c r="D12" s="41">
        <f>$G$1</f>
        <v>0.999</v>
      </c>
      <c r="E12" s="41">
        <f t="shared" si="0"/>
        <v>0.001</v>
      </c>
      <c r="F12" s="41">
        <f t="shared" si="1"/>
        <v>0.998001</v>
      </c>
      <c r="G12" t="s">
        <v>121</v>
      </c>
    </row>
    <row r="13" spans="2:7" ht="12.75">
      <c r="B13" s="3" t="s">
        <v>64</v>
      </c>
      <c r="C13">
        <v>1</v>
      </c>
      <c r="D13" s="41">
        <f>$G$1</f>
        <v>0.999</v>
      </c>
      <c r="E13" s="41">
        <f t="shared" si="0"/>
        <v>0.001</v>
      </c>
      <c r="F13" s="41">
        <f t="shared" si="1"/>
        <v>0.998001</v>
      </c>
      <c r="G13" t="s">
        <v>122</v>
      </c>
    </row>
    <row r="14" spans="2:7" ht="12.75">
      <c r="B14" s="3" t="s">
        <v>71</v>
      </c>
      <c r="C14">
        <v>1</v>
      </c>
      <c r="D14" s="41">
        <f>$G$1</f>
        <v>0.999</v>
      </c>
      <c r="E14" s="41">
        <f t="shared" si="0"/>
        <v>0.001</v>
      </c>
      <c r="F14" s="41">
        <f t="shared" si="1"/>
        <v>0.998001</v>
      </c>
      <c r="G14" t="s">
        <v>123</v>
      </c>
    </row>
    <row r="15" spans="2:7" ht="12.75">
      <c r="B15" s="3" t="s">
        <v>72</v>
      </c>
      <c r="C15">
        <v>1</v>
      </c>
      <c r="D15" s="41">
        <f>$G$1</f>
        <v>0.999</v>
      </c>
      <c r="E15" s="41">
        <f t="shared" si="0"/>
        <v>0.001</v>
      </c>
      <c r="F15" s="41">
        <f t="shared" si="1"/>
        <v>0.998001</v>
      </c>
      <c r="G15" t="s">
        <v>124</v>
      </c>
    </row>
    <row r="16" spans="2:7" ht="12.75">
      <c r="B16" s="3"/>
      <c r="G16"/>
    </row>
    <row r="17" spans="2:7" ht="12.75">
      <c r="B17" s="3" t="s">
        <v>18</v>
      </c>
      <c r="C17">
        <v>2</v>
      </c>
      <c r="D17" s="41">
        <f>$G$2</f>
        <v>0.9975</v>
      </c>
      <c r="E17" s="41">
        <f t="shared" si="0"/>
        <v>0.001</v>
      </c>
      <c r="F17" s="41">
        <f t="shared" si="1"/>
        <v>0.9930172325062502</v>
      </c>
      <c r="G17" t="s">
        <v>125</v>
      </c>
    </row>
    <row r="18" spans="2:7" ht="12.75">
      <c r="B18" s="3" t="s">
        <v>23</v>
      </c>
      <c r="C18">
        <v>1</v>
      </c>
      <c r="D18" s="41">
        <f>$G$1</f>
        <v>0.999</v>
      </c>
      <c r="E18" s="41">
        <f t="shared" si="0"/>
        <v>0.001</v>
      </c>
      <c r="F18" s="41">
        <f t="shared" si="1"/>
        <v>0.998001</v>
      </c>
      <c r="G18"/>
    </row>
    <row r="19" spans="2:7" ht="12.75">
      <c r="B19" s="3" t="s">
        <v>67</v>
      </c>
      <c r="C19">
        <v>1</v>
      </c>
      <c r="D19" s="41">
        <f>$G$1</f>
        <v>0.999</v>
      </c>
      <c r="E19" s="41">
        <f t="shared" si="0"/>
        <v>0.001</v>
      </c>
      <c r="F19" s="41">
        <f t="shared" si="1"/>
        <v>0.998001</v>
      </c>
      <c r="G19"/>
    </row>
    <row r="20" spans="2:7" ht="12.75">
      <c r="B20" s="3" t="s">
        <v>101</v>
      </c>
      <c r="C20">
        <v>2</v>
      </c>
      <c r="D20" s="41">
        <f>$G$2</f>
        <v>0.9975</v>
      </c>
      <c r="E20" s="41">
        <f t="shared" si="0"/>
        <v>0.001</v>
      </c>
      <c r="F20" s="41">
        <f t="shared" si="1"/>
        <v>0.9930172325062502</v>
      </c>
      <c r="G20"/>
    </row>
    <row r="21" spans="2:7" ht="12.75">
      <c r="B21" s="3" t="s">
        <v>82</v>
      </c>
      <c r="C21">
        <v>2</v>
      </c>
      <c r="D21" s="41">
        <f>$G$2</f>
        <v>0.9975</v>
      </c>
      <c r="E21" s="41">
        <f t="shared" si="0"/>
        <v>0.001</v>
      </c>
      <c r="F21" s="41">
        <f t="shared" si="1"/>
        <v>0.9930172325062502</v>
      </c>
      <c r="G21"/>
    </row>
    <row r="22" spans="2:7" ht="12.75">
      <c r="B22" s="3"/>
      <c r="G22"/>
    </row>
    <row r="23" spans="2:7" ht="12.75">
      <c r="B23" s="3" t="s">
        <v>75</v>
      </c>
      <c r="C23">
        <v>1</v>
      </c>
      <c r="D23" s="41">
        <f>$G$1</f>
        <v>0.999</v>
      </c>
      <c r="E23" s="41">
        <f t="shared" si="0"/>
        <v>0.001</v>
      </c>
      <c r="F23" s="41">
        <f t="shared" si="1"/>
        <v>0.998001</v>
      </c>
      <c r="G23" t="s">
        <v>79</v>
      </c>
    </row>
    <row r="24" spans="2:7" ht="12.75">
      <c r="B24" s="3" t="s">
        <v>17</v>
      </c>
      <c r="C24">
        <v>3</v>
      </c>
      <c r="D24" s="41">
        <f>$G$1</f>
        <v>0.999</v>
      </c>
      <c r="E24" s="41">
        <f t="shared" si="0"/>
        <v>0.001</v>
      </c>
      <c r="F24" s="41">
        <f t="shared" si="1"/>
        <v>0.9940149800149941</v>
      </c>
      <c r="G24"/>
    </row>
    <row r="25" spans="2:7" ht="12.75">
      <c r="B25" s="3" t="s">
        <v>55</v>
      </c>
      <c r="C25">
        <v>1</v>
      </c>
      <c r="D25" s="41">
        <f>$G$1</f>
        <v>0.999</v>
      </c>
      <c r="E25" s="41">
        <f t="shared" si="0"/>
        <v>0.001</v>
      </c>
      <c r="F25" s="41">
        <f t="shared" si="1"/>
        <v>0.998001</v>
      </c>
      <c r="G25"/>
    </row>
    <row r="26" spans="2:7" ht="12.75">
      <c r="B26" s="3" t="s">
        <v>6</v>
      </c>
      <c r="C26" t="s">
        <v>6</v>
      </c>
      <c r="G26"/>
    </row>
    <row r="27" spans="2:7" ht="25.5">
      <c r="B27" s="5" t="s">
        <v>53</v>
      </c>
      <c r="C27">
        <v>2</v>
      </c>
      <c r="D27" s="41">
        <f>$G$2</f>
        <v>0.9975</v>
      </c>
      <c r="E27" s="41">
        <f t="shared" si="0"/>
        <v>0.001</v>
      </c>
      <c r="F27" s="41">
        <f t="shared" si="1"/>
        <v>0.9930172325062502</v>
      </c>
      <c r="G27"/>
    </row>
    <row r="28" spans="2:7" ht="25.5">
      <c r="B28" s="5" t="s">
        <v>54</v>
      </c>
      <c r="C28">
        <v>2</v>
      </c>
      <c r="D28" s="41">
        <f>$G$2</f>
        <v>0.9975</v>
      </c>
      <c r="E28" s="41">
        <f t="shared" si="0"/>
        <v>0.001</v>
      </c>
      <c r="F28" s="41">
        <f t="shared" si="1"/>
        <v>0.9930172325062502</v>
      </c>
      <c r="G28"/>
    </row>
    <row r="29" spans="2:7" ht="12.75">
      <c r="B29" s="3" t="s">
        <v>6</v>
      </c>
      <c r="C29" t="s">
        <v>6</v>
      </c>
      <c r="G29"/>
    </row>
    <row r="30" spans="2:7" ht="12.75">
      <c r="B30" s="3" t="s">
        <v>115</v>
      </c>
      <c r="C30">
        <v>1</v>
      </c>
      <c r="D30" s="41">
        <f>$G$2</f>
        <v>0.9975</v>
      </c>
      <c r="E30" s="41">
        <f>$G$3</f>
        <v>0.001</v>
      </c>
      <c r="F30" s="41">
        <f t="shared" si="1"/>
        <v>0.9965025000000001</v>
      </c>
      <c r="G30"/>
    </row>
    <row r="31" spans="2:7" ht="12.75">
      <c r="B31" s="3" t="s">
        <v>116</v>
      </c>
      <c r="C31">
        <v>1</v>
      </c>
      <c r="D31" s="41">
        <f>$G$2</f>
        <v>0.9975</v>
      </c>
      <c r="E31" s="41">
        <v>0.0005</v>
      </c>
      <c r="F31" s="41">
        <f t="shared" si="1"/>
        <v>0.9970012500000001</v>
      </c>
      <c r="G31"/>
    </row>
    <row r="32" spans="2:7" ht="12.75">
      <c r="B32" s="3" t="s">
        <v>21</v>
      </c>
      <c r="C32">
        <v>1</v>
      </c>
      <c r="D32" s="41">
        <v>0.996</v>
      </c>
      <c r="E32" s="41">
        <v>0.0005</v>
      </c>
      <c r="F32" s="41">
        <f t="shared" si="1"/>
        <v>0.995502</v>
      </c>
      <c r="G32" t="s">
        <v>81</v>
      </c>
    </row>
    <row r="33" spans="2:7" ht="12.75">
      <c r="B33" s="3" t="s">
        <v>10</v>
      </c>
      <c r="C33">
        <v>1</v>
      </c>
      <c r="D33" s="41">
        <v>0.996</v>
      </c>
      <c r="E33" s="41">
        <v>0.0005</v>
      </c>
      <c r="F33" s="41">
        <f t="shared" si="1"/>
        <v>0.995502</v>
      </c>
      <c r="G33" t="s">
        <v>81</v>
      </c>
    </row>
    <row r="34" spans="2:7" ht="12.75">
      <c r="B34" s="3" t="s">
        <v>11</v>
      </c>
      <c r="C34">
        <v>1</v>
      </c>
      <c r="D34" s="41">
        <v>0.996</v>
      </c>
      <c r="E34" s="41">
        <v>0.0005</v>
      </c>
      <c r="F34" s="41">
        <f t="shared" si="1"/>
        <v>0.995502</v>
      </c>
      <c r="G34" t="s">
        <v>81</v>
      </c>
    </row>
    <row r="35" spans="2:7" ht="12.75">
      <c r="B35" s="3" t="s">
        <v>76</v>
      </c>
      <c r="C35">
        <v>1</v>
      </c>
      <c r="D35" s="41">
        <v>0.98</v>
      </c>
      <c r="E35" s="41">
        <v>0.0005</v>
      </c>
      <c r="F35" s="41">
        <f t="shared" si="1"/>
        <v>0.97951</v>
      </c>
      <c r="G35" t="s">
        <v>81</v>
      </c>
    </row>
    <row r="36" spans="2:7" ht="12.75">
      <c r="B36" s="3" t="s">
        <v>77</v>
      </c>
      <c r="C36">
        <v>1</v>
      </c>
      <c r="D36" s="41">
        <v>0.9886</v>
      </c>
      <c r="E36" s="41">
        <v>0.0034</v>
      </c>
      <c r="F36" s="41">
        <f t="shared" si="1"/>
        <v>0.9852387600000001</v>
      </c>
      <c r="G36" t="s">
        <v>81</v>
      </c>
    </row>
    <row r="37" spans="2:7" ht="12.75">
      <c r="B37" s="3" t="s">
        <v>78</v>
      </c>
      <c r="F37" s="41">
        <v>0.955</v>
      </c>
      <c r="G37" t="s">
        <v>14</v>
      </c>
    </row>
    <row r="38" ht="12.75">
      <c r="B38" s="3"/>
    </row>
    <row r="39" spans="2:8" ht="12.75">
      <c r="B39" t="s">
        <v>22</v>
      </c>
      <c r="F39" s="44">
        <f>PRODUCT(F7:F38)</f>
        <v>0.8380200911812046</v>
      </c>
      <c r="H39" s="2"/>
    </row>
    <row r="40" ht="12.75">
      <c r="H40" t="s">
        <v>6</v>
      </c>
    </row>
    <row r="41" spans="2:8" ht="12.75">
      <c r="B41" t="s">
        <v>41</v>
      </c>
      <c r="F41" s="45">
        <v>0.75</v>
      </c>
      <c r="H41" t="s">
        <v>43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C1" sqref="C1:F16384"/>
    </sheetView>
  </sheetViews>
  <sheetFormatPr defaultColWidth="9.140625" defaultRowHeight="12.75"/>
  <cols>
    <col min="1" max="1" width="6.7109375" style="0" customWidth="1"/>
    <col min="2" max="2" width="32.28125" style="0" customWidth="1"/>
    <col min="3" max="3" width="12.28125" style="0" customWidth="1"/>
    <col min="4" max="4" width="12.28125" style="1" customWidth="1"/>
    <col min="5" max="6" width="12.28125" style="15" customWidth="1"/>
    <col min="7" max="7" width="8.140625" style="0" customWidth="1"/>
    <col min="8" max="8" width="20.421875" style="0" customWidth="1"/>
  </cols>
  <sheetData>
    <row r="1" spans="8:10" ht="12.75">
      <c r="H1" s="16" t="s">
        <v>91</v>
      </c>
      <c r="I1" s="15">
        <f>Summary!C18</f>
        <v>21.093333333333334</v>
      </c>
      <c r="J1" s="3" t="s">
        <v>102</v>
      </c>
    </row>
    <row r="2" spans="2:10" ht="15">
      <c r="B2" s="4" t="s">
        <v>19</v>
      </c>
      <c r="H2" s="16" t="s">
        <v>92</v>
      </c>
      <c r="I2" s="15">
        <f>Summary!C19</f>
        <v>10.546666666666667</v>
      </c>
      <c r="J2" s="3" t="s">
        <v>102</v>
      </c>
    </row>
    <row r="3" spans="2:10" ht="12.75">
      <c r="B3" s="3" t="s">
        <v>38</v>
      </c>
      <c r="H3" s="16" t="s">
        <v>99</v>
      </c>
      <c r="I3" s="15">
        <f>Summary!C20</f>
        <v>21.093333333333334</v>
      </c>
      <c r="J3" s="3" t="s">
        <v>102</v>
      </c>
    </row>
    <row r="4" ht="12.75">
      <c r="G4" t="s">
        <v>6</v>
      </c>
    </row>
    <row r="5" spans="5:6" ht="12.75">
      <c r="E5" s="16" t="s">
        <v>100</v>
      </c>
      <c r="F5" s="16" t="s">
        <v>129</v>
      </c>
    </row>
    <row r="6" spans="2:7" s="2" customFormat="1" ht="38.25">
      <c r="B6" s="5" t="s">
        <v>0</v>
      </c>
      <c r="C6" s="5" t="s">
        <v>1</v>
      </c>
      <c r="D6" s="5" t="s">
        <v>128</v>
      </c>
      <c r="E6" s="51" t="s">
        <v>20</v>
      </c>
      <c r="F6" s="51" t="s">
        <v>20</v>
      </c>
      <c r="G6" s="5" t="s">
        <v>3</v>
      </c>
    </row>
    <row r="8" spans="1:7" ht="12.75">
      <c r="A8" s="3"/>
      <c r="B8" s="3" t="s">
        <v>65</v>
      </c>
      <c r="C8">
        <v>1</v>
      </c>
      <c r="D8" s="1">
        <f>E8*3/632.8</f>
        <v>0.05</v>
      </c>
      <c r="E8" s="15">
        <f>$I$2</f>
        <v>10.546666666666667</v>
      </c>
      <c r="F8" s="15">
        <f>SQRT(C8*E8^2)</f>
        <v>10.546666666666667</v>
      </c>
      <c r="G8" t="s">
        <v>44</v>
      </c>
    </row>
    <row r="9" spans="1:7" ht="12.75">
      <c r="A9" s="3"/>
      <c r="B9" s="3" t="s">
        <v>69</v>
      </c>
      <c r="C9">
        <v>2</v>
      </c>
      <c r="D9" s="1">
        <f aca="true" t="shared" si="0" ref="D9:D34">E9*3/632.8</f>
        <v>0.1</v>
      </c>
      <c r="E9" s="15">
        <f>$I$1</f>
        <v>21.093333333333334</v>
      </c>
      <c r="F9" s="15">
        <f>SQRT(C9*E9^2)</f>
        <v>29.830478075656487</v>
      </c>
      <c r="G9" t="s">
        <v>4</v>
      </c>
    </row>
    <row r="10" spans="1:6" ht="12.75">
      <c r="A10" s="3"/>
      <c r="B10" s="3" t="s">
        <v>9</v>
      </c>
      <c r="C10">
        <v>2</v>
      </c>
      <c r="D10" s="1">
        <f t="shared" si="0"/>
        <v>0.1</v>
      </c>
      <c r="E10" s="15">
        <f>$I$1</f>
        <v>21.093333333333334</v>
      </c>
      <c r="F10" s="15">
        <f>SQRT(C10*E10^2)</f>
        <v>29.830478075656487</v>
      </c>
    </row>
    <row r="11" spans="1:7" ht="12.75">
      <c r="A11" s="3"/>
      <c r="B11" s="3" t="s">
        <v>66</v>
      </c>
      <c r="C11">
        <v>1</v>
      </c>
      <c r="D11" s="1">
        <f t="shared" si="0"/>
        <v>0.05</v>
      </c>
      <c r="E11" s="15">
        <f>$I$2</f>
        <v>10.546666666666667</v>
      </c>
      <c r="F11" s="15">
        <f>SQRT(C11*E11^2)</f>
        <v>10.546666666666667</v>
      </c>
      <c r="G11" t="s">
        <v>5</v>
      </c>
    </row>
    <row r="12" spans="1:2" ht="12.75">
      <c r="A12" s="3"/>
      <c r="B12" s="3"/>
    </row>
    <row r="13" spans="1:7" ht="12.75">
      <c r="A13" s="3"/>
      <c r="B13" s="3" t="s">
        <v>63</v>
      </c>
      <c r="C13">
        <v>1</v>
      </c>
      <c r="D13" s="1">
        <f t="shared" si="0"/>
        <v>0.05</v>
      </c>
      <c r="E13" s="15">
        <f>$I$2</f>
        <v>10.546666666666667</v>
      </c>
      <c r="F13" s="15">
        <f>SQRT(C13*E13^2)</f>
        <v>10.546666666666667</v>
      </c>
      <c r="G13" t="s">
        <v>121</v>
      </c>
    </row>
    <row r="14" spans="1:7" ht="12.75">
      <c r="A14" s="3"/>
      <c r="B14" s="3" t="s">
        <v>64</v>
      </c>
      <c r="C14">
        <v>1</v>
      </c>
      <c r="D14" s="1">
        <f t="shared" si="0"/>
        <v>0.05</v>
      </c>
      <c r="E14" s="15">
        <f>$I$2</f>
        <v>10.546666666666667</v>
      </c>
      <c r="F14" s="15">
        <f>SQRT(C14*E14^2)</f>
        <v>10.546666666666667</v>
      </c>
      <c r="G14" t="s">
        <v>122</v>
      </c>
    </row>
    <row r="15" spans="1:7" ht="12.75">
      <c r="A15" s="3"/>
      <c r="B15" s="3" t="s">
        <v>71</v>
      </c>
      <c r="C15">
        <v>1</v>
      </c>
      <c r="D15" s="1">
        <f t="shared" si="0"/>
        <v>0.05</v>
      </c>
      <c r="E15" s="15">
        <f>$I$2</f>
        <v>10.546666666666667</v>
      </c>
      <c r="F15" s="15">
        <f>SQRT(C15*E15^2)</f>
        <v>10.546666666666667</v>
      </c>
      <c r="G15" t="s">
        <v>123</v>
      </c>
    </row>
    <row r="16" spans="1:7" ht="12.75">
      <c r="A16" s="3"/>
      <c r="B16" s="3" t="s">
        <v>72</v>
      </c>
      <c r="C16">
        <v>1</v>
      </c>
      <c r="D16" s="1">
        <f t="shared" si="0"/>
        <v>0.05</v>
      </c>
      <c r="E16" s="15">
        <f>$I$2</f>
        <v>10.546666666666667</v>
      </c>
      <c r="F16" s="15">
        <f>SQRT(C16*E16^2)</f>
        <v>10.546666666666667</v>
      </c>
      <c r="G16" t="s">
        <v>124</v>
      </c>
    </row>
    <row r="17" spans="1:2" ht="12.75">
      <c r="A17" s="3"/>
      <c r="B17" s="3"/>
    </row>
    <row r="18" spans="1:6" ht="12.75">
      <c r="A18" s="3"/>
      <c r="B18" s="3" t="s">
        <v>18</v>
      </c>
      <c r="C18">
        <v>2</v>
      </c>
      <c r="D18" s="1">
        <f t="shared" si="0"/>
        <v>0.1</v>
      </c>
      <c r="E18" s="15">
        <f>$I$3</f>
        <v>21.093333333333334</v>
      </c>
      <c r="F18" s="15">
        <f aca="true" t="shared" si="1" ref="F18:F24">SQRT(C18*E18^2)</f>
        <v>29.830478075656487</v>
      </c>
    </row>
    <row r="19" spans="1:6" ht="12.75">
      <c r="A19" s="3"/>
      <c r="B19" s="3" t="s">
        <v>59</v>
      </c>
      <c r="C19">
        <v>2</v>
      </c>
      <c r="D19" s="1">
        <f t="shared" si="0"/>
        <v>0.1</v>
      </c>
      <c r="E19" s="15">
        <f>$I$3</f>
        <v>21.093333333333334</v>
      </c>
      <c r="F19" s="15">
        <f t="shared" si="1"/>
        <v>29.830478075656487</v>
      </c>
    </row>
    <row r="20" spans="1:6" ht="12.75">
      <c r="A20" s="3"/>
      <c r="B20" s="3" t="s">
        <v>23</v>
      </c>
      <c r="C20">
        <v>1</v>
      </c>
      <c r="D20" s="1">
        <f t="shared" si="0"/>
        <v>0.05</v>
      </c>
      <c r="E20" s="15">
        <f>$I$2</f>
        <v>10.546666666666667</v>
      </c>
      <c r="F20" s="15">
        <f t="shared" si="1"/>
        <v>10.546666666666667</v>
      </c>
    </row>
    <row r="21" spans="1:6" ht="12.75">
      <c r="A21" s="3"/>
      <c r="B21" s="3" t="s">
        <v>73</v>
      </c>
      <c r="C21">
        <v>1</v>
      </c>
      <c r="D21" s="1">
        <f t="shared" si="0"/>
        <v>0.05</v>
      </c>
      <c r="E21" s="15">
        <f>$I$2</f>
        <v>10.546666666666667</v>
      </c>
      <c r="F21" s="15">
        <f t="shared" si="1"/>
        <v>10.546666666666667</v>
      </c>
    </row>
    <row r="22" spans="1:6" ht="12.75">
      <c r="A22" s="3"/>
      <c r="B22" s="3" t="s">
        <v>74</v>
      </c>
      <c r="C22">
        <v>1</v>
      </c>
      <c r="D22" s="1">
        <f t="shared" si="0"/>
        <v>0.05</v>
      </c>
      <c r="E22" s="15">
        <f>$I$2</f>
        <v>10.546666666666667</v>
      </c>
      <c r="F22" s="15">
        <f t="shared" si="1"/>
        <v>10.546666666666667</v>
      </c>
    </row>
    <row r="23" spans="1:6" ht="12.75">
      <c r="A23" s="3"/>
      <c r="B23" s="3" t="s">
        <v>58</v>
      </c>
      <c r="C23">
        <v>2</v>
      </c>
      <c r="D23" s="1">
        <f t="shared" si="0"/>
        <v>0.1</v>
      </c>
      <c r="E23" s="15">
        <f>$I$1</f>
        <v>21.093333333333334</v>
      </c>
      <c r="F23" s="15">
        <f t="shared" si="1"/>
        <v>29.830478075656487</v>
      </c>
    </row>
    <row r="24" spans="1:6" ht="12.75">
      <c r="A24" s="3"/>
      <c r="B24" s="3" t="s">
        <v>57</v>
      </c>
      <c r="C24">
        <v>2</v>
      </c>
      <c r="D24" s="1">
        <f t="shared" si="0"/>
        <v>0.1</v>
      </c>
      <c r="E24" s="15">
        <f>$I$1</f>
        <v>21.093333333333334</v>
      </c>
      <c r="F24" s="15">
        <f t="shared" si="1"/>
        <v>29.830478075656487</v>
      </c>
    </row>
    <row r="25" spans="1:2" ht="12.75">
      <c r="A25" s="3"/>
      <c r="B25" s="3"/>
    </row>
    <row r="26" spans="1:6" ht="12.75">
      <c r="A26" s="3"/>
      <c r="B26" s="3" t="s">
        <v>75</v>
      </c>
      <c r="C26">
        <v>1</v>
      </c>
      <c r="D26" s="1">
        <f t="shared" si="0"/>
        <v>0.05</v>
      </c>
      <c r="E26" s="15">
        <f>$I$2</f>
        <v>10.546666666666667</v>
      </c>
      <c r="F26" s="15">
        <f>SQRT(C26*E26^2)</f>
        <v>10.546666666666667</v>
      </c>
    </row>
    <row r="27" spans="1:6" ht="12.75">
      <c r="A27" s="3"/>
      <c r="B27" s="3" t="s">
        <v>17</v>
      </c>
      <c r="C27">
        <v>3</v>
      </c>
      <c r="D27" s="1">
        <f t="shared" si="0"/>
        <v>0.05</v>
      </c>
      <c r="E27" s="15">
        <f>$I$2</f>
        <v>10.546666666666667</v>
      </c>
      <c r="F27" s="15">
        <f>SQRT(C27*E27^2)</f>
        <v>18.267362517159757</v>
      </c>
    </row>
    <row r="28" spans="1:6" ht="12.75">
      <c r="A28" s="3"/>
      <c r="B28" s="3" t="s">
        <v>55</v>
      </c>
      <c r="C28">
        <v>1</v>
      </c>
      <c r="D28" s="1">
        <f t="shared" si="0"/>
        <v>0.05</v>
      </c>
      <c r="E28" s="15">
        <f>$I$2</f>
        <v>10.546666666666667</v>
      </c>
      <c r="F28" s="15">
        <f>SQRT(C28*E28^2)</f>
        <v>10.546666666666667</v>
      </c>
    </row>
    <row r="29" spans="1:2" ht="12.75">
      <c r="A29" s="5"/>
      <c r="B29" s="3" t="s">
        <v>6</v>
      </c>
    </row>
    <row r="30" spans="1:7" ht="15" customHeight="1">
      <c r="A30" s="5"/>
      <c r="B30" s="5" t="s">
        <v>53</v>
      </c>
      <c r="C30">
        <v>2</v>
      </c>
      <c r="D30" s="1">
        <f t="shared" si="0"/>
        <v>0.1</v>
      </c>
      <c r="E30" s="15">
        <f>$I$1</f>
        <v>21.093333333333334</v>
      </c>
      <c r="F30" s="15">
        <f>SQRT(C30*E30^2)</f>
        <v>29.830478075656487</v>
      </c>
      <c r="G30" t="s">
        <v>130</v>
      </c>
    </row>
    <row r="31" spans="1:7" ht="14.25" customHeight="1">
      <c r="A31" s="5"/>
      <c r="B31" s="5" t="s">
        <v>54</v>
      </c>
      <c r="C31">
        <v>2</v>
      </c>
      <c r="D31" s="1">
        <f t="shared" si="0"/>
        <v>0.1</v>
      </c>
      <c r="E31" s="15">
        <f>$I$1</f>
        <v>21.093333333333334</v>
      </c>
      <c r="F31" s="15">
        <f>SQRT(C31*E31^2)</f>
        <v>29.830478075656487</v>
      </c>
      <c r="G31" t="s">
        <v>130</v>
      </c>
    </row>
    <row r="32" spans="1:7" ht="14.25" customHeight="1">
      <c r="A32" s="5"/>
      <c r="B32" s="5" t="s">
        <v>68</v>
      </c>
      <c r="C32">
        <v>1</v>
      </c>
      <c r="E32" s="15">
        <f>Summary!C22</f>
        <v>33.5</v>
      </c>
      <c r="F32" s="15">
        <f>SQRT(C32*E32^2)</f>
        <v>33.5</v>
      </c>
      <c r="G32" t="s">
        <v>131</v>
      </c>
    </row>
    <row r="33" spans="1:6" ht="12.75">
      <c r="A33" s="3"/>
      <c r="B33" s="3" t="s">
        <v>6</v>
      </c>
      <c r="C33" t="s">
        <v>6</v>
      </c>
      <c r="F33" s="15" t="s">
        <v>6</v>
      </c>
    </row>
    <row r="34" spans="1:6" ht="12.75">
      <c r="A34" s="3"/>
      <c r="B34" s="5" t="s">
        <v>56</v>
      </c>
      <c r="C34">
        <v>1</v>
      </c>
      <c r="D34" s="1">
        <f t="shared" si="0"/>
        <v>0.05</v>
      </c>
      <c r="E34" s="15">
        <f>$I$2</f>
        <v>10.546666666666667</v>
      </c>
      <c r="F34" s="15">
        <f>SQRT(C34*E34^2)</f>
        <v>10.546666666666667</v>
      </c>
    </row>
    <row r="35" spans="1:2" ht="12.75">
      <c r="A35" s="3"/>
      <c r="B35" s="3"/>
    </row>
    <row r="36" spans="1:7" ht="12.75">
      <c r="A36" s="3"/>
      <c r="B36" s="3" t="s">
        <v>13</v>
      </c>
      <c r="C36">
        <v>2</v>
      </c>
      <c r="E36" s="15">
        <f>589/200</f>
        <v>2.945</v>
      </c>
      <c r="F36" s="15">
        <f>SQRT(C36*E36^2)</f>
        <v>4.164858941188765</v>
      </c>
      <c r="G36" t="s">
        <v>132</v>
      </c>
    </row>
    <row r="37" spans="1:7" ht="12.75">
      <c r="A37" s="3"/>
      <c r="B37" s="3" t="s">
        <v>21</v>
      </c>
      <c r="C37">
        <v>1</v>
      </c>
      <c r="E37" s="15">
        <f>589/100</f>
        <v>5.89</v>
      </c>
      <c r="F37" s="15">
        <f>SQRT(C37*E37^2)</f>
        <v>5.89</v>
      </c>
      <c r="G37" t="s">
        <v>132</v>
      </c>
    </row>
    <row r="38" spans="1:7" ht="12.75">
      <c r="A38" s="3"/>
      <c r="B38" s="3" t="s">
        <v>10</v>
      </c>
      <c r="C38">
        <v>1</v>
      </c>
      <c r="E38" s="15">
        <f>589/16</f>
        <v>36.8125</v>
      </c>
      <c r="F38" s="15">
        <f>SQRT(C38*E38^2)</f>
        <v>36.8125</v>
      </c>
      <c r="G38" t="s">
        <v>132</v>
      </c>
    </row>
    <row r="39" spans="1:7" ht="12.75">
      <c r="A39" s="3"/>
      <c r="B39" s="3" t="s">
        <v>11</v>
      </c>
      <c r="C39">
        <v>1</v>
      </c>
      <c r="E39" s="15">
        <f>589/12</f>
        <v>49.083333333333336</v>
      </c>
      <c r="F39" s="15">
        <f>SQRT(C39*E39^2)</f>
        <v>49.083333333333336</v>
      </c>
      <c r="G39" t="s">
        <v>132</v>
      </c>
    </row>
    <row r="40" spans="1:7" ht="12.75">
      <c r="A40" s="3"/>
      <c r="B40" s="3" t="s">
        <v>12</v>
      </c>
      <c r="C40">
        <v>2</v>
      </c>
      <c r="E40" s="15">
        <f>589/50</f>
        <v>11.78</v>
      </c>
      <c r="F40" s="15">
        <f>SQRT(C40*E40^2)</f>
        <v>16.65943576475506</v>
      </c>
      <c r="G40" t="s">
        <v>132</v>
      </c>
    </row>
    <row r="41" spans="1:6" ht="12.75">
      <c r="A41" s="3"/>
      <c r="B41" s="3"/>
      <c r="F41" s="15" t="s">
        <v>6</v>
      </c>
    </row>
    <row r="42" spans="1:5" ht="12.75">
      <c r="A42" s="3"/>
      <c r="B42" s="3" t="s">
        <v>6</v>
      </c>
      <c r="E42" s="15" t="s">
        <v>6</v>
      </c>
    </row>
    <row r="43" spans="2:6" ht="12.75">
      <c r="B43" s="3" t="s">
        <v>24</v>
      </c>
      <c r="E43" s="17">
        <f>SQRT(SUMSQ(F8:F40))</f>
        <v>118.33638815599181</v>
      </c>
      <c r="F43" s="15" t="s">
        <v>33</v>
      </c>
    </row>
    <row r="45" spans="2:5" ht="12.75">
      <c r="B45" s="3"/>
      <c r="E45" s="18"/>
    </row>
    <row r="47" spans="2:3" ht="12.75">
      <c r="B47" s="8"/>
      <c r="C47" s="6"/>
    </row>
    <row r="48" spans="2:3" ht="12.75">
      <c r="B48" s="8"/>
      <c r="C48" s="6"/>
    </row>
    <row r="49" spans="2:3" ht="12.75">
      <c r="B49" s="8"/>
      <c r="C49" s="6"/>
    </row>
    <row r="50" ht="12.75">
      <c r="B50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E9" sqref="E9"/>
    </sheetView>
  </sheetViews>
  <sheetFormatPr defaultColWidth="9.140625" defaultRowHeight="12.75"/>
  <cols>
    <col min="1" max="1" width="6.7109375" style="0" customWidth="1"/>
    <col min="2" max="2" width="32.140625" style="0" customWidth="1"/>
    <col min="3" max="3" width="12.28125" style="0" customWidth="1"/>
    <col min="4" max="4" width="12.28125" style="1" customWidth="1"/>
    <col min="5" max="6" width="12.28125" style="15" customWidth="1"/>
    <col min="7" max="7" width="18.421875" style="0" customWidth="1"/>
    <col min="8" max="8" width="11.28125" style="0" customWidth="1"/>
  </cols>
  <sheetData>
    <row r="1" spans="7:9" ht="12.75">
      <c r="G1" s="16" t="s">
        <v>91</v>
      </c>
      <c r="H1" s="15">
        <f>Summary!C18</f>
        <v>21.093333333333334</v>
      </c>
      <c r="I1" s="3" t="s">
        <v>102</v>
      </c>
    </row>
    <row r="2" spans="2:9" ht="15">
      <c r="B2" s="4" t="s">
        <v>19</v>
      </c>
      <c r="G2" s="16" t="s">
        <v>92</v>
      </c>
      <c r="H2" s="15">
        <f>Summary!C19</f>
        <v>10.546666666666667</v>
      </c>
      <c r="I2" s="3" t="s">
        <v>102</v>
      </c>
    </row>
    <row r="3" spans="2:9" ht="12.75">
      <c r="B3" s="3" t="s">
        <v>38</v>
      </c>
      <c r="G3" s="16" t="s">
        <v>99</v>
      </c>
      <c r="H3" s="15">
        <f>Summary!C20</f>
        <v>21.093333333333334</v>
      </c>
      <c r="I3" s="3" t="s">
        <v>102</v>
      </c>
    </row>
    <row r="4" ht="12.75">
      <c r="G4" t="s">
        <v>6</v>
      </c>
    </row>
    <row r="5" spans="5:6" ht="12.75">
      <c r="E5" s="16" t="s">
        <v>100</v>
      </c>
      <c r="F5" s="16" t="s">
        <v>129</v>
      </c>
    </row>
    <row r="6" spans="2:7" s="2" customFormat="1" ht="38.25">
      <c r="B6" s="5" t="s">
        <v>0</v>
      </c>
      <c r="C6" s="5" t="s">
        <v>1</v>
      </c>
      <c r="D6" s="5" t="s">
        <v>128</v>
      </c>
      <c r="E6" s="51" t="s">
        <v>20</v>
      </c>
      <c r="F6" s="51" t="s">
        <v>20</v>
      </c>
      <c r="G6" s="5" t="s">
        <v>3</v>
      </c>
    </row>
    <row r="8" spans="1:7" ht="12.75">
      <c r="A8" s="3"/>
      <c r="B8" s="3" t="s">
        <v>65</v>
      </c>
      <c r="C8">
        <v>1</v>
      </c>
      <c r="D8" s="1">
        <v>0.05</v>
      </c>
      <c r="E8" s="15">
        <f>$H$2</f>
        <v>10.546666666666667</v>
      </c>
      <c r="F8" s="15">
        <f>SQRT(C8*E8^2)</f>
        <v>10.546666666666667</v>
      </c>
      <c r="G8" t="s">
        <v>44</v>
      </c>
    </row>
    <row r="9" spans="1:7" ht="12.75">
      <c r="A9" s="3"/>
      <c r="B9" s="3" t="s">
        <v>69</v>
      </c>
      <c r="C9">
        <v>2</v>
      </c>
      <c r="D9" s="1">
        <v>0.05</v>
      </c>
      <c r="E9" s="15">
        <f>$H$1</f>
        <v>21.093333333333334</v>
      </c>
      <c r="F9" s="15">
        <f>SQRT(C9*E9^2)</f>
        <v>29.830478075656487</v>
      </c>
      <c r="G9" t="s">
        <v>4</v>
      </c>
    </row>
    <row r="10" spans="1:6" ht="12.75">
      <c r="A10" s="3"/>
      <c r="B10" s="3" t="s">
        <v>9</v>
      </c>
      <c r="C10">
        <v>2</v>
      </c>
      <c r="D10" s="1">
        <v>0.05</v>
      </c>
      <c r="E10" s="15">
        <f>$H$1</f>
        <v>21.093333333333334</v>
      </c>
      <c r="F10" s="15">
        <f>SQRT(C10*E10^2)</f>
        <v>29.830478075656487</v>
      </c>
    </row>
    <row r="11" spans="1:7" ht="12.75">
      <c r="A11" s="3"/>
      <c r="B11" s="3" t="s">
        <v>66</v>
      </c>
      <c r="C11">
        <v>1</v>
      </c>
      <c r="D11" s="1">
        <v>0.05</v>
      </c>
      <c r="E11" s="15">
        <f>$H$2</f>
        <v>10.546666666666667</v>
      </c>
      <c r="F11" s="15">
        <f>SQRT(C11*E11^2)</f>
        <v>10.546666666666667</v>
      </c>
      <c r="G11" t="s">
        <v>5</v>
      </c>
    </row>
    <row r="12" spans="1:7" ht="12.75">
      <c r="A12" s="3"/>
      <c r="B12" s="3"/>
      <c r="G12" t="s">
        <v>45</v>
      </c>
    </row>
    <row r="13" spans="1:7" ht="12.75">
      <c r="A13" s="3"/>
      <c r="B13" s="3" t="s">
        <v>63</v>
      </c>
      <c r="C13">
        <v>1</v>
      </c>
      <c r="D13" s="1">
        <v>0.05</v>
      </c>
      <c r="E13" s="15">
        <f>$H$2</f>
        <v>10.546666666666667</v>
      </c>
      <c r="F13" s="15">
        <f>SQRT(C13*E13^2)</f>
        <v>10.546666666666667</v>
      </c>
      <c r="G13" t="s">
        <v>7</v>
      </c>
    </row>
    <row r="14" spans="1:7" ht="12.75">
      <c r="A14" s="3"/>
      <c r="B14" s="3" t="s">
        <v>64</v>
      </c>
      <c r="C14">
        <v>1</v>
      </c>
      <c r="D14" s="1">
        <v>0.05</v>
      </c>
      <c r="E14" s="15">
        <f>$H$2</f>
        <v>10.546666666666667</v>
      </c>
      <c r="F14" s="15">
        <f>SQRT(C14*E14^2)</f>
        <v>10.546666666666667</v>
      </c>
      <c r="G14" t="s">
        <v>8</v>
      </c>
    </row>
    <row r="15" spans="1:7" ht="12.75">
      <c r="A15" s="3"/>
      <c r="B15" s="3" t="s">
        <v>71</v>
      </c>
      <c r="C15">
        <v>1</v>
      </c>
      <c r="D15" s="1">
        <v>0.05</v>
      </c>
      <c r="E15" s="15">
        <f>$H$2</f>
        <v>10.546666666666667</v>
      </c>
      <c r="F15" s="15">
        <f>SQRT(C15*E15^2)</f>
        <v>10.546666666666667</v>
      </c>
      <c r="G15" t="s">
        <v>8</v>
      </c>
    </row>
    <row r="16" spans="1:6" ht="12.75">
      <c r="A16" s="3"/>
      <c r="B16" s="3" t="s">
        <v>72</v>
      </c>
      <c r="C16">
        <v>1</v>
      </c>
      <c r="D16" s="1">
        <v>0.05</v>
      </c>
      <c r="E16" s="15">
        <f>$H$2</f>
        <v>10.546666666666667</v>
      </c>
      <c r="F16" s="15">
        <f>SQRT(C16*E16^2)</f>
        <v>10.546666666666667</v>
      </c>
    </row>
    <row r="17" spans="1:2" ht="12.75">
      <c r="A17" s="3"/>
      <c r="B17" s="3"/>
    </row>
    <row r="18" spans="1:6" ht="12.75">
      <c r="A18" s="3"/>
      <c r="B18" s="3" t="s">
        <v>18</v>
      </c>
      <c r="C18">
        <v>2</v>
      </c>
      <c r="D18" s="1">
        <v>0.1</v>
      </c>
      <c r="E18" s="15">
        <f>$H$3</f>
        <v>21.093333333333334</v>
      </c>
      <c r="F18" s="15">
        <f>SQRT(C18*E18^2)</f>
        <v>29.830478075656487</v>
      </c>
    </row>
    <row r="19" spans="1:6" ht="12.75">
      <c r="A19" s="3"/>
      <c r="B19" s="3" t="s">
        <v>23</v>
      </c>
      <c r="C19">
        <v>1</v>
      </c>
      <c r="D19" s="1">
        <v>0.05</v>
      </c>
      <c r="E19" s="15">
        <f>$H$2</f>
        <v>10.546666666666667</v>
      </c>
      <c r="F19" s="15">
        <f>SQRT(C19*E19^2)</f>
        <v>10.546666666666667</v>
      </c>
    </row>
    <row r="20" spans="1:6" ht="12.75">
      <c r="A20" s="3"/>
      <c r="B20" s="3" t="s">
        <v>67</v>
      </c>
      <c r="C20">
        <v>1</v>
      </c>
      <c r="D20" s="1">
        <v>0.05</v>
      </c>
      <c r="E20" s="15">
        <f>$H$2</f>
        <v>10.546666666666667</v>
      </c>
      <c r="F20" s="15">
        <f>SQRT(C20*E20^2)</f>
        <v>10.546666666666667</v>
      </c>
    </row>
    <row r="21" spans="2:6" ht="12.75">
      <c r="B21" s="3" t="s">
        <v>58</v>
      </c>
      <c r="C21">
        <v>2</v>
      </c>
      <c r="D21" s="1">
        <v>0.05</v>
      </c>
      <c r="E21" s="15">
        <f>$H$1</f>
        <v>21.093333333333334</v>
      </c>
      <c r="F21" s="15">
        <f>SQRT(C21*E21^2)</f>
        <v>29.830478075656487</v>
      </c>
    </row>
    <row r="22" spans="1:6" ht="12.75">
      <c r="A22" s="3"/>
      <c r="B22" s="3" t="s">
        <v>57</v>
      </c>
      <c r="C22">
        <v>2</v>
      </c>
      <c r="D22" s="1">
        <v>0.05</v>
      </c>
      <c r="E22" s="15">
        <f>$H$1</f>
        <v>21.093333333333334</v>
      </c>
      <c r="F22" s="15">
        <f>SQRT(C22*E22^2)</f>
        <v>29.830478075656487</v>
      </c>
    </row>
    <row r="23" ht="12.75">
      <c r="B23" s="3"/>
    </row>
    <row r="24" spans="1:6" ht="12.75">
      <c r="A24" s="3"/>
      <c r="B24" s="3" t="s">
        <v>75</v>
      </c>
      <c r="C24">
        <v>1</v>
      </c>
      <c r="D24" s="1">
        <v>0.05</v>
      </c>
      <c r="E24" s="15">
        <f>$H$2</f>
        <v>10.546666666666667</v>
      </c>
      <c r="F24" s="15">
        <f>SQRT(C24*E24^2)</f>
        <v>10.546666666666667</v>
      </c>
    </row>
    <row r="25" spans="1:6" ht="12.75">
      <c r="A25" s="3"/>
      <c r="B25" s="3" t="s">
        <v>17</v>
      </c>
      <c r="C25">
        <v>3</v>
      </c>
      <c r="D25" s="1">
        <v>0.05</v>
      </c>
      <c r="E25" s="15">
        <f>$H$2</f>
        <v>10.546666666666667</v>
      </c>
      <c r="F25" s="15">
        <f>SQRT(C25*E25^2)</f>
        <v>18.267362517159757</v>
      </c>
    </row>
    <row r="26" spans="1:6" ht="12.75">
      <c r="A26" s="3"/>
      <c r="B26" s="3" t="s">
        <v>55</v>
      </c>
      <c r="C26">
        <v>1</v>
      </c>
      <c r="D26" s="1">
        <v>0.05</v>
      </c>
      <c r="E26" s="15">
        <f>$H$2</f>
        <v>10.546666666666667</v>
      </c>
      <c r="F26" s="15">
        <f>SQRT(C26*E26^2)</f>
        <v>10.546666666666667</v>
      </c>
    </row>
    <row r="27" spans="1:2" ht="12.75">
      <c r="A27" s="3"/>
      <c r="B27" s="3" t="s">
        <v>6</v>
      </c>
    </row>
    <row r="28" spans="1:6" ht="15" customHeight="1">
      <c r="A28" s="5"/>
      <c r="B28" s="5" t="s">
        <v>53</v>
      </c>
      <c r="C28">
        <v>2</v>
      </c>
      <c r="D28" s="1">
        <v>0.05</v>
      </c>
      <c r="E28" s="15">
        <f>$H$1</f>
        <v>21.093333333333334</v>
      </c>
      <c r="F28" s="15">
        <f>SQRT(C28*E28^2)</f>
        <v>29.830478075656487</v>
      </c>
    </row>
    <row r="29" spans="1:6" ht="14.25" customHeight="1">
      <c r="A29" s="5"/>
      <c r="B29" s="5" t="s">
        <v>54</v>
      </c>
      <c r="C29">
        <v>2</v>
      </c>
      <c r="D29" s="1">
        <v>0.05</v>
      </c>
      <c r="E29" s="15">
        <f>$H$1</f>
        <v>21.093333333333334</v>
      </c>
      <c r="F29" s="15">
        <f>SQRT(C29*E29^2)</f>
        <v>29.830478075656487</v>
      </c>
    </row>
    <row r="30" spans="1:6" ht="14.25" customHeight="1">
      <c r="A30" s="3"/>
      <c r="B30" s="5" t="s">
        <v>68</v>
      </c>
      <c r="C30">
        <v>1</v>
      </c>
      <c r="E30" s="15">
        <f>Summary!C21</f>
        <v>19</v>
      </c>
      <c r="F30" s="15">
        <f>SQRT(C30*E30^2)</f>
        <v>19</v>
      </c>
    </row>
    <row r="31" spans="2:6" ht="12.75">
      <c r="B31" s="3" t="s">
        <v>6</v>
      </c>
      <c r="C31" t="s">
        <v>6</v>
      </c>
      <c r="F31" s="15" t="s">
        <v>6</v>
      </c>
    </row>
    <row r="32" ht="12.75">
      <c r="B32" s="5" t="s">
        <v>56</v>
      </c>
    </row>
    <row r="33" ht="12.75">
      <c r="B33" s="3"/>
    </row>
    <row r="34" spans="1:7" ht="12.75">
      <c r="A34" s="3"/>
      <c r="B34" s="3" t="s">
        <v>13</v>
      </c>
      <c r="C34">
        <v>2</v>
      </c>
      <c r="E34" s="15">
        <f>589/200</f>
        <v>2.945</v>
      </c>
      <c r="F34" s="15">
        <f>SQRT(C34*E34^2)</f>
        <v>4.164858941188765</v>
      </c>
      <c r="G34" t="s">
        <v>132</v>
      </c>
    </row>
    <row r="35" spans="1:7" ht="12.75">
      <c r="A35" s="3"/>
      <c r="B35" s="3" t="s">
        <v>21</v>
      </c>
      <c r="C35">
        <v>1</v>
      </c>
      <c r="E35" s="15">
        <f>589/100</f>
        <v>5.89</v>
      </c>
      <c r="F35" s="15">
        <f>SQRT(C35*E35^2)</f>
        <v>5.89</v>
      </c>
      <c r="G35" t="s">
        <v>132</v>
      </c>
    </row>
    <row r="36" spans="1:7" ht="12.75">
      <c r="A36" s="3"/>
      <c r="B36" s="3" t="s">
        <v>10</v>
      </c>
      <c r="C36">
        <v>1</v>
      </c>
      <c r="E36" s="15">
        <f>589/16</f>
        <v>36.8125</v>
      </c>
      <c r="F36" s="15">
        <f>SQRT(C36*E36^2)</f>
        <v>36.8125</v>
      </c>
      <c r="G36" t="s">
        <v>132</v>
      </c>
    </row>
    <row r="37" spans="1:7" ht="12.75">
      <c r="A37" s="3"/>
      <c r="B37" s="3" t="s">
        <v>11</v>
      </c>
      <c r="C37">
        <v>1</v>
      </c>
      <c r="E37" s="15">
        <f>589/12</f>
        <v>49.083333333333336</v>
      </c>
      <c r="F37" s="15">
        <f>SQRT(C37*E37^2)</f>
        <v>49.083333333333336</v>
      </c>
      <c r="G37" t="s">
        <v>132</v>
      </c>
    </row>
    <row r="38" spans="1:7" ht="12.75">
      <c r="A38" s="3"/>
      <c r="B38" s="3" t="s">
        <v>12</v>
      </c>
      <c r="C38">
        <v>2</v>
      </c>
      <c r="E38" s="15">
        <f>589/50</f>
        <v>11.78</v>
      </c>
      <c r="F38" s="15">
        <f>SQRT(C38*E38^2)</f>
        <v>16.65943576475506</v>
      </c>
      <c r="G38" t="s">
        <v>132</v>
      </c>
    </row>
    <row r="39" spans="1:6" ht="12.75">
      <c r="A39" s="3"/>
      <c r="B39" s="3"/>
      <c r="F39" s="15" t="s">
        <v>6</v>
      </c>
    </row>
    <row r="40" spans="1:5" ht="12.75">
      <c r="A40" s="3"/>
      <c r="B40" s="3" t="s">
        <v>6</v>
      </c>
      <c r="E40" s="15" t="s">
        <v>6</v>
      </c>
    </row>
    <row r="41" spans="2:6" ht="12.75">
      <c r="B41" s="3" t="s">
        <v>24</v>
      </c>
      <c r="E41" s="17">
        <f>SQRT(SUMSQ(F8:F38))</f>
        <v>110.13595681714388</v>
      </c>
      <c r="F41" s="15" t="s">
        <v>33</v>
      </c>
    </row>
    <row r="44" ht="12.75">
      <c r="B44" t="s">
        <v>6</v>
      </c>
    </row>
    <row r="45" ht="12.75">
      <c r="B45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G18" sqref="G18"/>
    </sheetView>
  </sheetViews>
  <sheetFormatPr defaultColWidth="9.140625" defaultRowHeight="12.75"/>
  <cols>
    <col min="1" max="1" width="6.28125" style="0" customWidth="1"/>
    <col min="2" max="2" width="40.421875" style="0" customWidth="1"/>
    <col min="3" max="3" width="13.00390625" style="6" customWidth="1"/>
    <col min="4" max="4" width="9.8515625" style="6" customWidth="1"/>
    <col min="5" max="5" width="11.00390625" style="6" customWidth="1"/>
    <col min="6" max="6" width="12.421875" style="15" customWidth="1"/>
    <col min="7" max="7" width="8.140625" style="0" customWidth="1"/>
    <col min="8" max="8" width="23.8515625" style="0" customWidth="1"/>
  </cols>
  <sheetData>
    <row r="1" ht="15">
      <c r="B1" s="4" t="s">
        <v>134</v>
      </c>
    </row>
    <row r="3" spans="2:7" ht="12.75">
      <c r="B3" s="3" t="s">
        <v>24</v>
      </c>
      <c r="E3" s="9">
        <f>'RMSwfe PNS'!E43</f>
        <v>118.33638815599181</v>
      </c>
      <c r="F3" s="15" t="s">
        <v>33</v>
      </c>
      <c r="G3" t="s">
        <v>133</v>
      </c>
    </row>
    <row r="4" spans="2:7" ht="12.75">
      <c r="B4" s="3" t="s">
        <v>32</v>
      </c>
      <c r="E4" s="9">
        <v>70</v>
      </c>
      <c r="F4" s="15" t="s">
        <v>33</v>
      </c>
      <c r="G4" t="s">
        <v>47</v>
      </c>
    </row>
    <row r="6" spans="1:10" s="2" customFormat="1" ht="12.75">
      <c r="A6"/>
      <c r="B6"/>
      <c r="C6" s="6"/>
      <c r="D6" s="6"/>
      <c r="E6" s="6"/>
      <c r="F6" s="15"/>
      <c r="G6"/>
      <c r="H6"/>
      <c r="I6"/>
      <c r="J6"/>
    </row>
    <row r="7" spans="2:7" ht="12.75">
      <c r="B7" s="3" t="s">
        <v>136</v>
      </c>
      <c r="G7" t="s">
        <v>6</v>
      </c>
    </row>
    <row r="8" ht="12.75">
      <c r="B8" t="s">
        <v>135</v>
      </c>
    </row>
    <row r="9" ht="12.75">
      <c r="B9" t="s">
        <v>138</v>
      </c>
    </row>
    <row r="10" ht="12.75">
      <c r="B10" s="40" t="s">
        <v>42</v>
      </c>
    </row>
    <row r="11" ht="12.75">
      <c r="B11" t="s">
        <v>146</v>
      </c>
    </row>
    <row r="13" spans="2:6" s="65" customFormat="1" ht="12.75">
      <c r="B13" s="66" t="s">
        <v>137</v>
      </c>
      <c r="C13" s="69"/>
      <c r="D13" s="69"/>
      <c r="E13" s="69"/>
      <c r="F13" s="67"/>
    </row>
    <row r="14" spans="2:7" s="62" customFormat="1" ht="12.75">
      <c r="B14" s="62" t="s">
        <v>49</v>
      </c>
      <c r="C14" s="70"/>
      <c r="D14" s="70"/>
      <c r="E14" s="70"/>
      <c r="F14" s="63"/>
      <c r="G14" s="64" t="s">
        <v>6</v>
      </c>
    </row>
    <row r="15" spans="2:7" s="55" customFormat="1" ht="12.75">
      <c r="B15" s="55" t="s">
        <v>39</v>
      </c>
      <c r="C15" s="58">
        <v>0.134</v>
      </c>
      <c r="D15" s="58" t="s">
        <v>25</v>
      </c>
      <c r="E15" s="58"/>
      <c r="F15" s="56"/>
      <c r="G15" s="55" t="s">
        <v>37</v>
      </c>
    </row>
    <row r="16" spans="3:6" s="55" customFormat="1" ht="12.75">
      <c r="C16" s="58"/>
      <c r="D16" s="58"/>
      <c r="E16" s="58"/>
      <c r="F16" s="56"/>
    </row>
    <row r="17" spans="2:7" s="55" customFormat="1" ht="12.75">
      <c r="B17" s="55" t="s">
        <v>15</v>
      </c>
      <c r="C17" s="58" t="s">
        <v>27</v>
      </c>
      <c r="D17" s="58" t="s">
        <v>28</v>
      </c>
      <c r="E17" s="58"/>
      <c r="F17" s="56"/>
      <c r="G17" s="55" t="s">
        <v>154</v>
      </c>
    </row>
    <row r="18" spans="2:6" s="55" customFormat="1" ht="12.75">
      <c r="B18" s="57" t="s">
        <v>142</v>
      </c>
      <c r="C18" s="58">
        <v>0.22</v>
      </c>
      <c r="D18" s="58">
        <f>C18*((589/500)^(6/5))</f>
        <v>0.26779164888645074</v>
      </c>
      <c r="E18" s="58"/>
      <c r="F18" s="56"/>
    </row>
    <row r="19" spans="2:6" s="55" customFormat="1" ht="12.75">
      <c r="B19" s="57" t="s">
        <v>141</v>
      </c>
      <c r="C19" s="58">
        <v>0.16</v>
      </c>
      <c r="D19" s="58">
        <f>C19*((589/500)^(6/5))</f>
        <v>0.19475756282650963</v>
      </c>
      <c r="E19" s="58"/>
      <c r="F19" s="56"/>
    </row>
    <row r="20" spans="2:6" s="55" customFormat="1" ht="12.75">
      <c r="B20" s="57" t="s">
        <v>46</v>
      </c>
      <c r="C20" s="58">
        <v>0.14</v>
      </c>
      <c r="D20" s="58">
        <f>C20*((589/500)^(6/5))</f>
        <v>0.17041286747319595</v>
      </c>
      <c r="E20" s="58"/>
      <c r="F20" s="56"/>
    </row>
    <row r="21" spans="3:6" s="55" customFormat="1" ht="12.75">
      <c r="C21" s="58"/>
      <c r="D21" s="58"/>
      <c r="E21" s="58"/>
      <c r="F21" s="56"/>
    </row>
    <row r="22" spans="2:7" s="55" customFormat="1" ht="12.75">
      <c r="B22" s="59" t="s">
        <v>139</v>
      </c>
      <c r="C22" s="58">
        <v>0.5</v>
      </c>
      <c r="D22" s="58" t="s">
        <v>26</v>
      </c>
      <c r="E22" s="58"/>
      <c r="F22" s="56"/>
      <c r="G22" s="55" t="s">
        <v>152</v>
      </c>
    </row>
    <row r="23" spans="3:6" s="55" customFormat="1" ht="12.75">
      <c r="C23" s="58"/>
      <c r="D23" s="58"/>
      <c r="E23" s="58"/>
      <c r="F23" s="56"/>
    </row>
    <row r="24" spans="2:6" s="60" customFormat="1" ht="25.5">
      <c r="B24" s="60" t="s">
        <v>140</v>
      </c>
      <c r="C24" s="71" t="s">
        <v>30</v>
      </c>
      <c r="D24" s="71" t="s">
        <v>29</v>
      </c>
      <c r="E24" s="71"/>
      <c r="F24" s="61"/>
    </row>
    <row r="25" spans="2:6" s="55" customFormat="1" ht="12.75">
      <c r="B25" s="57" t="s">
        <v>142</v>
      </c>
      <c r="C25" s="58">
        <f>SQRT($C$15*($C$22/D18)^(5/3))</f>
        <v>0.6159279018888665</v>
      </c>
      <c r="D25" s="58">
        <f>C25/(2*PI())*589</f>
        <v>57.73847443238766</v>
      </c>
      <c r="E25" s="58"/>
      <c r="F25" s="56"/>
    </row>
    <row r="26" spans="2:6" s="55" customFormat="1" ht="12.75">
      <c r="B26" s="57" t="s">
        <v>141</v>
      </c>
      <c r="C26" s="58">
        <f>SQRT($C$15*($C$22/D19)^(5/3))</f>
        <v>0.8031231170573191</v>
      </c>
      <c r="D26" s="58">
        <f>C26/(2*PI())*589</f>
        <v>75.28657724072447</v>
      </c>
      <c r="E26" s="58"/>
      <c r="F26" s="56"/>
    </row>
    <row r="27" spans="2:6" s="55" customFormat="1" ht="12.75">
      <c r="B27" s="57" t="s">
        <v>46</v>
      </c>
      <c r="C27" s="58">
        <f>SQRT($C$15*($C$22/D20)^(5/3))</f>
        <v>0.8976535428200229</v>
      </c>
      <c r="D27" s="58">
        <f>C27/(2*PI())*589</f>
        <v>84.14807313049404</v>
      </c>
      <c r="E27" s="58"/>
      <c r="F27" s="56"/>
    </row>
    <row r="28" ht="12.75">
      <c r="F28" s="15" t="s">
        <v>6</v>
      </c>
    </row>
    <row r="29" ht="12.75">
      <c r="B29" s="68" t="s">
        <v>143</v>
      </c>
    </row>
    <row r="30" spans="2:9" s="2" customFormat="1" ht="25.5">
      <c r="B30" s="2" t="s">
        <v>144</v>
      </c>
      <c r="C30" s="72" t="str">
        <f>B27</f>
        <v>37.5% (Challenging)</v>
      </c>
      <c r="D30" s="72" t="str">
        <f>B26</f>
        <v>50% (Design)</v>
      </c>
      <c r="E30" s="72" t="str">
        <f>B25</f>
        <v>87.5% (Excellent)</v>
      </c>
      <c r="F30" s="53" t="s">
        <v>6</v>
      </c>
      <c r="G30" s="2" t="s">
        <v>6</v>
      </c>
      <c r="I30" s="52"/>
    </row>
    <row r="31" spans="2:9" ht="14.25" customHeight="1">
      <c r="B31" s="40" t="s">
        <v>145</v>
      </c>
      <c r="C31" s="73">
        <f>SQRT(SUMSQ(E3,D27,E4))</f>
        <v>161.19677097690428</v>
      </c>
      <c r="D31" s="73">
        <f>SQRT(SUMSQ(E3,D26,E4))</f>
        <v>156.7532120067373</v>
      </c>
      <c r="E31" s="73">
        <f>SQRT(SUMSQ(E3,D25,E4))</f>
        <v>149.1215349692493</v>
      </c>
      <c r="G31" t="s">
        <v>6</v>
      </c>
      <c r="I31" s="1"/>
    </row>
    <row r="32" spans="2:9" ht="14.25" customHeight="1">
      <c r="B32" s="7" t="s">
        <v>6</v>
      </c>
      <c r="D32" s="74"/>
      <c r="G32" t="s">
        <v>6</v>
      </c>
      <c r="I32" s="1"/>
    </row>
    <row r="33" spans="2:9" ht="12.75">
      <c r="B33" s="2" t="s">
        <v>31</v>
      </c>
      <c r="C33" s="1">
        <f>EXP(-1*(C31/589*2*PI())^2)</f>
        <v>0.051977969810367175</v>
      </c>
      <c r="D33" s="1">
        <f>EXP(-1*(D31/589*2*PI())^2)</f>
        <v>0.061044012054795926</v>
      </c>
      <c r="E33" s="1">
        <f>EXP(-1*(E31/589*2*PI())^2)</f>
        <v>0.0796175601907851</v>
      </c>
      <c r="I33" s="1"/>
    </row>
    <row r="34" spans="2:9" ht="12.75">
      <c r="B34" s="2" t="s">
        <v>50</v>
      </c>
      <c r="C34" s="6">
        <f>1/SQRT(C33)</f>
        <v>4.386219322304721</v>
      </c>
      <c r="D34" s="6">
        <f>1/SQRT(D33)</f>
        <v>4.047421788357292</v>
      </c>
      <c r="E34" s="6">
        <f>1/SQRT(E33)</f>
        <v>3.544015132139808</v>
      </c>
      <c r="G34" t="s">
        <v>51</v>
      </c>
      <c r="I34" s="1"/>
    </row>
    <row r="35" ht="12.75">
      <c r="B35" s="2"/>
    </row>
    <row r="36" spans="2:7" ht="12.75">
      <c r="B36" s="2" t="s">
        <v>103</v>
      </c>
      <c r="C36" s="1">
        <v>0.093</v>
      </c>
      <c r="D36" s="1">
        <v>0.093</v>
      </c>
      <c r="E36" s="1">
        <v>0.093</v>
      </c>
      <c r="G36" t="s">
        <v>147</v>
      </c>
    </row>
    <row r="37" ht="12.75">
      <c r="B37" s="2"/>
    </row>
    <row r="38" ht="25.5">
      <c r="B38" s="2" t="s">
        <v>34</v>
      </c>
    </row>
    <row r="39" spans="2:5" ht="12.75">
      <c r="B39" s="2" t="s">
        <v>35</v>
      </c>
      <c r="C39" s="6">
        <f>C36*C34</f>
        <v>0.40791839697433907</v>
      </c>
      <c r="D39" s="6">
        <f>D36*D34</f>
        <v>0.3764102263172282</v>
      </c>
      <c r="E39" s="6">
        <f>E36*E34</f>
        <v>0.3295934072890021</v>
      </c>
    </row>
    <row r="40" spans="2:5" ht="12.75">
      <c r="B40" s="2" t="s">
        <v>36</v>
      </c>
      <c r="C40" s="6">
        <f>0.59*C39</f>
        <v>0.24067185421486004</v>
      </c>
      <c r="D40" s="6">
        <f>0.59*D39</f>
        <v>0.22208203352716463</v>
      </c>
      <c r="E40" s="6">
        <f>0.59*E39</f>
        <v>0.19446011030051122</v>
      </c>
    </row>
    <row r="42" spans="2:7" ht="12.75">
      <c r="B42" s="2" t="s">
        <v>40</v>
      </c>
      <c r="C42" s="6">
        <f>85000-4123</f>
        <v>80877</v>
      </c>
      <c r="D42" s="6">
        <f>85000-4123</f>
        <v>80877</v>
      </c>
      <c r="E42" s="6">
        <f>85000-4123</f>
        <v>80877</v>
      </c>
      <c r="G42" t="s">
        <v>148</v>
      </c>
    </row>
    <row r="44" spans="2:7" ht="25.5">
      <c r="B44" s="2" t="s">
        <v>149</v>
      </c>
      <c r="C44" s="6">
        <f>C40/C42*206265</f>
        <v>0.6137984842369043</v>
      </c>
      <c r="D44" s="75">
        <f>D40/D42*206265</f>
        <v>0.5663878561949702</v>
      </c>
      <c r="E44" s="73">
        <f>E40/E42*206265</f>
        <v>0.4959421671320023</v>
      </c>
      <c r="G44" s="3" t="s">
        <v>48</v>
      </c>
    </row>
    <row r="45" spans="2:7" ht="25.5">
      <c r="B45" s="2" t="s">
        <v>52</v>
      </c>
      <c r="D45" s="54">
        <v>0.9</v>
      </c>
      <c r="G45" s="3" t="s">
        <v>43</v>
      </c>
    </row>
    <row r="47" ht="12.75">
      <c r="B47" t="s">
        <v>6</v>
      </c>
    </row>
    <row r="48" ht="12.75">
      <c r="B48" t="s">
        <v>6</v>
      </c>
    </row>
    <row r="49" ht="12.75">
      <c r="B49" s="3" t="s">
        <v>150</v>
      </c>
    </row>
    <row r="51" spans="2:6" s="2" customFormat="1" ht="25.5">
      <c r="B51" s="2" t="s">
        <v>151</v>
      </c>
      <c r="C51" s="72" t="str">
        <f>C30</f>
        <v>37.5% (Challenging)</v>
      </c>
      <c r="D51" s="72" t="str">
        <f>D30</f>
        <v>50% (Design)</v>
      </c>
      <c r="E51" s="72" t="str">
        <f>E30</f>
        <v>87.5% (Excellent)</v>
      </c>
      <c r="F51" s="53"/>
    </row>
    <row r="52" spans="2:5" ht="12.75">
      <c r="B52">
        <v>80</v>
      </c>
      <c r="C52" s="1">
        <f>DEGREES(ATAN(0.59*C$34*0.066*SQRT(1+((($B52-103)*1000*0.000000589/(PI()*0.066^2))^2))/($B52*1000)))*3600</f>
        <v>0.6196554096688328</v>
      </c>
      <c r="D52" s="1">
        <f>DEGREES(ATAN(0.59*D$34*0.066*SQRT(1+((($B52-103)*1000*0.000000589/(PI()*0.066^2))^2))/($B52*1000)))*3600</f>
        <v>0.571792384757084</v>
      </c>
      <c r="E52" s="1">
        <f>DEGREES(ATAN(0.59*E$34*0.066*SQRT(1+((($B52-103)*1000*0.000000589/(PI()*0.066^2))^2))/($B52*1000)))*3600</f>
        <v>0.5006744960092451</v>
      </c>
    </row>
    <row r="53" spans="2:5" ht="12.75">
      <c r="B53">
        <f>B52+5</f>
        <v>85</v>
      </c>
      <c r="C53" s="1">
        <f aca="true" t="shared" si="0" ref="C53:E69">DEGREES(ATAN(0.59*C$34*0.066*SQRT(1+((($B53-103)*1000*0.000000589/(PI()*0.066^2))^2))/($B53*1000)))*3600</f>
        <v>0.5243006598515094</v>
      </c>
      <c r="D53" s="1">
        <f t="shared" si="0"/>
        <v>0.4838029652422288</v>
      </c>
      <c r="E53" s="1">
        <f t="shared" si="0"/>
        <v>0.42362894688304786</v>
      </c>
    </row>
    <row r="54" spans="2:5" ht="12.75">
      <c r="B54">
        <f aca="true" t="shared" si="1" ref="B54:B69">B53+5</f>
        <v>90</v>
      </c>
      <c r="C54" s="1">
        <f t="shared" si="0"/>
        <v>0.448552102092065</v>
      </c>
      <c r="D54" s="1">
        <f t="shared" si="0"/>
        <v>0.4139053288989153</v>
      </c>
      <c r="E54" s="1">
        <f t="shared" si="0"/>
        <v>0.36242497708322063</v>
      </c>
    </row>
    <row r="55" spans="2:5" ht="12.75">
      <c r="B55">
        <f t="shared" si="1"/>
        <v>95</v>
      </c>
      <c r="C55" s="1">
        <f t="shared" si="0"/>
        <v>0.39220876605385807</v>
      </c>
      <c r="D55" s="1">
        <f t="shared" si="0"/>
        <v>0.3619140286120682</v>
      </c>
      <c r="E55" s="1">
        <f t="shared" si="0"/>
        <v>0.31690020487232945</v>
      </c>
    </row>
    <row r="56" spans="2:5" ht="12.75">
      <c r="B56">
        <f t="shared" si="1"/>
        <v>100</v>
      </c>
      <c r="C56" s="1">
        <f t="shared" si="0"/>
        <v>0.3552237026425007</v>
      </c>
      <c r="D56" s="1">
        <f t="shared" si="0"/>
        <v>0.3277857416990644</v>
      </c>
      <c r="E56" s="1">
        <f t="shared" si="0"/>
        <v>0.28701669591813594</v>
      </c>
    </row>
    <row r="57" spans="2:5" ht="12.75">
      <c r="B57">
        <f t="shared" si="1"/>
        <v>105</v>
      </c>
      <c r="C57" s="1">
        <f t="shared" si="0"/>
        <v>0.33676367666007384</v>
      </c>
      <c r="D57" s="1">
        <f t="shared" si="0"/>
        <v>0.3107515931796308</v>
      </c>
      <c r="E57" s="1">
        <f t="shared" si="0"/>
        <v>0.2721012056942902</v>
      </c>
    </row>
    <row r="58" spans="2:5" ht="12.75">
      <c r="B58">
        <f t="shared" si="1"/>
        <v>110</v>
      </c>
      <c r="C58" s="1">
        <f t="shared" si="0"/>
        <v>0.3344919724028203</v>
      </c>
      <c r="D58" s="1">
        <f t="shared" si="0"/>
        <v>0.30865535844263087</v>
      </c>
      <c r="E58" s="1">
        <f t="shared" si="0"/>
        <v>0.2702656945919339</v>
      </c>
    </row>
    <row r="59" spans="2:5" ht="12.75">
      <c r="B59">
        <f t="shared" si="1"/>
        <v>115</v>
      </c>
      <c r="C59" s="1">
        <f t="shared" si="0"/>
        <v>0.3447945769528165</v>
      </c>
      <c r="D59" s="1">
        <f t="shared" si="0"/>
        <v>0.3181621758332829</v>
      </c>
      <c r="E59" s="1">
        <f t="shared" si="0"/>
        <v>0.2785900814368872</v>
      </c>
    </row>
    <row r="60" spans="2:5" ht="12.75">
      <c r="B60">
        <f t="shared" si="1"/>
        <v>120</v>
      </c>
      <c r="C60" s="1">
        <f t="shared" si="0"/>
        <v>0.36377806947236757</v>
      </c>
      <c r="D60" s="1">
        <f t="shared" si="0"/>
        <v>0.33567935762400325</v>
      </c>
      <c r="E60" s="1">
        <f t="shared" si="0"/>
        <v>0.2939285266459767</v>
      </c>
    </row>
    <row r="61" spans="2:5" ht="12.75">
      <c r="B61">
        <f t="shared" si="1"/>
        <v>125</v>
      </c>
      <c r="C61" s="1">
        <f t="shared" si="0"/>
        <v>0.3881411541468883</v>
      </c>
      <c r="D61" s="1">
        <f t="shared" si="0"/>
        <v>0.3581606045698319</v>
      </c>
      <c r="E61" s="1">
        <f t="shared" si="0"/>
        <v>0.31361362089403083</v>
      </c>
    </row>
    <row r="62" spans="2:5" ht="12.75">
      <c r="B62">
        <f t="shared" si="1"/>
        <v>130</v>
      </c>
      <c r="C62" s="1">
        <f t="shared" si="0"/>
        <v>0.4154748734599891</v>
      </c>
      <c r="D62" s="1">
        <f t="shared" si="0"/>
        <v>0.3833830303026651</v>
      </c>
      <c r="E62" s="1">
        <f t="shared" si="0"/>
        <v>0.33569895401242084</v>
      </c>
    </row>
    <row r="63" spans="2:5" ht="12.75">
      <c r="B63">
        <f t="shared" si="1"/>
        <v>135</v>
      </c>
      <c r="C63" s="1">
        <f t="shared" si="0"/>
        <v>0.44416863258223116</v>
      </c>
      <c r="D63" s="1">
        <f t="shared" si="0"/>
        <v>0.40986044452377846</v>
      </c>
      <c r="E63" s="1">
        <f t="shared" si="0"/>
        <v>0.35888318376815515</v>
      </c>
    </row>
    <row r="64" spans="2:5" ht="12.75">
      <c r="B64">
        <f t="shared" si="1"/>
        <v>140</v>
      </c>
      <c r="C64" s="1">
        <f t="shared" si="0"/>
        <v>0.47319794715356384</v>
      </c>
      <c r="D64" s="1">
        <f t="shared" si="0"/>
        <v>0.4366474954356421</v>
      </c>
      <c r="E64" s="1">
        <f t="shared" si="0"/>
        <v>0.3823385384955079</v>
      </c>
    </row>
    <row r="65" spans="2:5" ht="12.75">
      <c r="B65">
        <f t="shared" si="1"/>
        <v>145</v>
      </c>
      <c r="C65" s="1">
        <f t="shared" si="0"/>
        <v>0.5019318651907547</v>
      </c>
      <c r="D65" s="1">
        <f t="shared" si="0"/>
        <v>0.4631619666426101</v>
      </c>
      <c r="E65" s="1">
        <f t="shared" si="0"/>
        <v>0.40555521619601087</v>
      </c>
    </row>
    <row r="66" spans="2:5" ht="12.75">
      <c r="B66">
        <f t="shared" si="1"/>
        <v>150</v>
      </c>
      <c r="C66" s="1">
        <f t="shared" si="0"/>
        <v>0.5299934070351342</v>
      </c>
      <c r="D66" s="1">
        <f t="shared" si="0"/>
        <v>0.4890559969065296</v>
      </c>
      <c r="E66" s="1">
        <f t="shared" si="0"/>
        <v>0.4282286216096771</v>
      </c>
    </row>
    <row r="67" spans="2:5" ht="12.75">
      <c r="B67">
        <f t="shared" si="1"/>
        <v>155</v>
      </c>
      <c r="C67" s="1">
        <f t="shared" si="0"/>
        <v>0.5571669045242135</v>
      </c>
      <c r="D67" s="1">
        <f t="shared" si="0"/>
        <v>0.5141305765665121</v>
      </c>
      <c r="E67" s="1">
        <f t="shared" si="0"/>
        <v>0.450184497323637</v>
      </c>
    </row>
    <row r="68" spans="2:5" ht="12.75">
      <c r="B68">
        <f t="shared" si="1"/>
        <v>160</v>
      </c>
      <c r="C68" s="1">
        <f t="shared" si="0"/>
        <v>0.5833385649431608</v>
      </c>
      <c r="D68" s="1">
        <f t="shared" si="0"/>
        <v>0.5382807024114725</v>
      </c>
      <c r="E68" s="1">
        <f t="shared" si="0"/>
        <v>0.4713309001235508</v>
      </c>
    </row>
    <row r="69" spans="2:5" ht="12.75">
      <c r="B69">
        <f t="shared" si="1"/>
        <v>165</v>
      </c>
      <c r="C69" s="1">
        <f t="shared" si="0"/>
        <v>0.6084587444807741</v>
      </c>
      <c r="D69" s="1">
        <f t="shared" si="0"/>
        <v>0.561460565185568</v>
      </c>
      <c r="E69" s="1">
        <f t="shared" si="0"/>
        <v>0.49162771837678154</v>
      </c>
    </row>
    <row r="86" ht="38.25" customHeight="1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G18" sqref="G18"/>
    </sheetView>
  </sheetViews>
  <sheetFormatPr defaultColWidth="9.140625" defaultRowHeight="12.75"/>
  <cols>
    <col min="1" max="1" width="6.28125" style="0" customWidth="1"/>
    <col min="2" max="2" width="40.421875" style="0" customWidth="1"/>
    <col min="3" max="3" width="13.00390625" style="6" customWidth="1"/>
    <col min="4" max="4" width="9.8515625" style="6" customWidth="1"/>
    <col min="5" max="5" width="11.00390625" style="6" customWidth="1"/>
    <col min="6" max="6" width="12.421875" style="15" customWidth="1"/>
    <col min="7" max="7" width="8.140625" style="0" customWidth="1"/>
    <col min="8" max="8" width="23.8515625" style="0" customWidth="1"/>
  </cols>
  <sheetData>
    <row r="1" ht="15">
      <c r="B1" s="4" t="s">
        <v>134</v>
      </c>
    </row>
    <row r="3" spans="2:7" ht="12.75">
      <c r="B3" s="3" t="s">
        <v>24</v>
      </c>
      <c r="E3" s="9">
        <f>'RMSwfe central'!E41</f>
        <v>110.13595681714388</v>
      </c>
      <c r="F3" s="15" t="s">
        <v>33</v>
      </c>
      <c r="G3" t="s">
        <v>133</v>
      </c>
    </row>
    <row r="4" spans="2:7" ht="12.75">
      <c r="B4" s="3" t="s">
        <v>32</v>
      </c>
      <c r="E4" s="9">
        <v>70</v>
      </c>
      <c r="F4" s="15" t="s">
        <v>33</v>
      </c>
      <c r="G4" t="s">
        <v>47</v>
      </c>
    </row>
    <row r="6" spans="1:10" s="2" customFormat="1" ht="12.75">
      <c r="A6"/>
      <c r="B6"/>
      <c r="C6" s="6"/>
      <c r="D6" s="6"/>
      <c r="E6" s="6"/>
      <c r="F6" s="15"/>
      <c r="G6"/>
      <c r="H6"/>
      <c r="I6"/>
      <c r="J6"/>
    </row>
    <row r="7" spans="2:7" ht="12.75">
      <c r="B7" s="3" t="s">
        <v>136</v>
      </c>
      <c r="G7" t="s">
        <v>6</v>
      </c>
    </row>
    <row r="8" ht="12.75">
      <c r="B8" t="s">
        <v>135</v>
      </c>
    </row>
    <row r="9" ht="12.75">
      <c r="B9" t="s">
        <v>138</v>
      </c>
    </row>
    <row r="10" ht="12.75">
      <c r="B10" s="40" t="s">
        <v>42</v>
      </c>
    </row>
    <row r="11" ht="12.75">
      <c r="B11" t="s">
        <v>146</v>
      </c>
    </row>
    <row r="13" spans="2:6" s="65" customFormat="1" ht="12.75">
      <c r="B13" s="66" t="s">
        <v>137</v>
      </c>
      <c r="C13" s="69"/>
      <c r="D13" s="69"/>
      <c r="E13" s="69"/>
      <c r="F13" s="67"/>
    </row>
    <row r="14" spans="2:7" s="62" customFormat="1" ht="12.75">
      <c r="B14" s="62" t="s">
        <v>49</v>
      </c>
      <c r="C14" s="70"/>
      <c r="D14" s="70"/>
      <c r="E14" s="70"/>
      <c r="F14" s="63"/>
      <c r="G14" s="64" t="s">
        <v>6</v>
      </c>
    </row>
    <row r="15" spans="2:7" s="55" customFormat="1" ht="12.75">
      <c r="B15" s="55" t="s">
        <v>39</v>
      </c>
      <c r="C15" s="58">
        <v>0.134</v>
      </c>
      <c r="D15" s="58" t="s">
        <v>25</v>
      </c>
      <c r="E15" s="58"/>
      <c r="F15" s="56"/>
      <c r="G15" s="55" t="s">
        <v>37</v>
      </c>
    </row>
    <row r="16" spans="3:6" s="55" customFormat="1" ht="12.75">
      <c r="C16" s="58"/>
      <c r="D16" s="58"/>
      <c r="E16" s="58"/>
      <c r="F16" s="56"/>
    </row>
    <row r="17" spans="2:7" s="55" customFormat="1" ht="12.75">
      <c r="B17" s="55" t="s">
        <v>15</v>
      </c>
      <c r="C17" s="58" t="s">
        <v>27</v>
      </c>
      <c r="D17" s="58" t="s">
        <v>28</v>
      </c>
      <c r="E17" s="58"/>
      <c r="F17" s="56"/>
      <c r="G17" s="55" t="s">
        <v>154</v>
      </c>
    </row>
    <row r="18" spans="2:6" s="55" customFormat="1" ht="12.75">
      <c r="B18" s="57" t="s">
        <v>142</v>
      </c>
      <c r="C18" s="58">
        <v>0.22</v>
      </c>
      <c r="D18" s="58">
        <f>C18*((589/500)^(6/5))</f>
        <v>0.26779164888645074</v>
      </c>
      <c r="E18" s="58"/>
      <c r="F18" s="56"/>
    </row>
    <row r="19" spans="2:6" s="55" customFormat="1" ht="12.75">
      <c r="B19" s="57" t="s">
        <v>141</v>
      </c>
      <c r="C19" s="58">
        <v>0.16</v>
      </c>
      <c r="D19" s="58">
        <f>C19*((589/500)^(6/5))</f>
        <v>0.19475756282650963</v>
      </c>
      <c r="E19" s="58"/>
      <c r="F19" s="56"/>
    </row>
    <row r="20" spans="2:6" s="55" customFormat="1" ht="12.75">
      <c r="B20" s="57" t="s">
        <v>46</v>
      </c>
      <c r="C20" s="58">
        <v>0.14</v>
      </c>
      <c r="D20" s="58">
        <f>C20*((589/500)^(6/5))</f>
        <v>0.17041286747319595</v>
      </c>
      <c r="E20" s="58"/>
      <c r="F20" s="56"/>
    </row>
    <row r="21" spans="3:6" s="55" customFormat="1" ht="12.75">
      <c r="C21" s="58"/>
      <c r="D21" s="58"/>
      <c r="E21" s="58"/>
      <c r="F21" s="56"/>
    </row>
    <row r="22" spans="2:7" s="55" customFormat="1" ht="12.75">
      <c r="B22" s="59" t="s">
        <v>139</v>
      </c>
      <c r="C22" s="58">
        <v>0.5</v>
      </c>
      <c r="D22" s="58" t="s">
        <v>26</v>
      </c>
      <c r="E22" s="58"/>
      <c r="F22" s="56"/>
      <c r="G22" s="55" t="s">
        <v>152</v>
      </c>
    </row>
    <row r="23" spans="3:6" s="55" customFormat="1" ht="12.75">
      <c r="C23" s="58"/>
      <c r="D23" s="58"/>
      <c r="E23" s="58"/>
      <c r="F23" s="56"/>
    </row>
    <row r="24" spans="2:6" s="60" customFormat="1" ht="25.5">
      <c r="B24" s="60" t="s">
        <v>140</v>
      </c>
      <c r="C24" s="71" t="s">
        <v>30</v>
      </c>
      <c r="D24" s="71" t="s">
        <v>29</v>
      </c>
      <c r="E24" s="71"/>
      <c r="F24" s="61"/>
    </row>
    <row r="25" spans="2:6" s="55" customFormat="1" ht="12.75">
      <c r="B25" s="57" t="s">
        <v>142</v>
      </c>
      <c r="C25" s="58">
        <f>SQRT($C$15*($C$22/D18)^(5/3))</f>
        <v>0.6159279018888665</v>
      </c>
      <c r="D25" s="58">
        <f>C25/(2*PI())*589</f>
        <v>57.73847443238766</v>
      </c>
      <c r="E25" s="58"/>
      <c r="F25" s="56"/>
    </row>
    <row r="26" spans="2:6" s="55" customFormat="1" ht="12.75">
      <c r="B26" s="57" t="s">
        <v>141</v>
      </c>
      <c r="C26" s="58">
        <f>SQRT($C$15*($C$22/D19)^(5/3))</f>
        <v>0.8031231170573191</v>
      </c>
      <c r="D26" s="58">
        <f>C26/(2*PI())*589</f>
        <v>75.28657724072447</v>
      </c>
      <c r="E26" s="58"/>
      <c r="F26" s="56"/>
    </row>
    <row r="27" spans="2:6" s="55" customFormat="1" ht="12.75">
      <c r="B27" s="57" t="s">
        <v>46</v>
      </c>
      <c r="C27" s="58">
        <f>SQRT($C$15*($C$22/D20)^(5/3))</f>
        <v>0.8976535428200229</v>
      </c>
      <c r="D27" s="58">
        <f>C27/(2*PI())*589</f>
        <v>84.14807313049404</v>
      </c>
      <c r="E27" s="58"/>
      <c r="F27" s="56"/>
    </row>
    <row r="28" ht="12.75">
      <c r="F28" s="15" t="s">
        <v>6</v>
      </c>
    </row>
    <row r="29" ht="12.75">
      <c r="B29" s="68" t="s">
        <v>143</v>
      </c>
    </row>
    <row r="30" spans="2:9" s="2" customFormat="1" ht="25.5">
      <c r="B30" s="2" t="s">
        <v>144</v>
      </c>
      <c r="C30" s="72" t="str">
        <f>B27</f>
        <v>37.5% (Challenging)</v>
      </c>
      <c r="D30" s="72" t="str">
        <f>B26</f>
        <v>50% (Design)</v>
      </c>
      <c r="E30" s="72" t="str">
        <f>B25</f>
        <v>87.5% (Excellent)</v>
      </c>
      <c r="F30" s="53" t="s">
        <v>6</v>
      </c>
      <c r="G30" s="2" t="s">
        <v>6</v>
      </c>
      <c r="I30" s="52"/>
    </row>
    <row r="31" spans="2:9" ht="14.25" customHeight="1">
      <c r="B31" s="40" t="s">
        <v>145</v>
      </c>
      <c r="C31" s="73">
        <f>SQRT(SUMSQ(E3,D27,E4))</f>
        <v>155.27661509577916</v>
      </c>
      <c r="D31" s="73">
        <f>SQRT(SUMSQ(E3,D26,E4))</f>
        <v>150.65854670960871</v>
      </c>
      <c r="E31" s="73">
        <f>SQRT(SUMSQ(E3,D25,E4))</f>
        <v>142.7012978700869</v>
      </c>
      <c r="G31" t="s">
        <v>6</v>
      </c>
      <c r="I31" s="1"/>
    </row>
    <row r="32" spans="2:9" ht="14.25" customHeight="1">
      <c r="B32" s="7" t="s">
        <v>6</v>
      </c>
      <c r="D32" s="74"/>
      <c r="G32" t="s">
        <v>6</v>
      </c>
      <c r="I32" s="1"/>
    </row>
    <row r="33" spans="2:9" ht="12.75">
      <c r="B33" s="2" t="s">
        <v>31</v>
      </c>
      <c r="C33" s="1">
        <f>EXP(-1*(C31/589*2*PI())^2)</f>
        <v>0.06432999457507081</v>
      </c>
      <c r="D33" s="1">
        <f>EXP(-1*(D31/589*2*PI())^2)</f>
        <v>0.07555048761335693</v>
      </c>
      <c r="E33" s="1">
        <f>EXP(-1*(E31/589*2*PI())^2)</f>
        <v>0.09853784658846029</v>
      </c>
      <c r="I33" s="1"/>
    </row>
    <row r="34" spans="2:9" ht="12.75">
      <c r="B34" s="2" t="s">
        <v>50</v>
      </c>
      <c r="C34" s="6">
        <f>1/SQRT(C33)</f>
        <v>3.9426955492594766</v>
      </c>
      <c r="D34" s="6">
        <f>1/SQRT(D33)</f>
        <v>3.638156393544675</v>
      </c>
      <c r="E34" s="6">
        <f>1/SQRT(E33)</f>
        <v>3.185652987514954</v>
      </c>
      <c r="G34" t="s">
        <v>51</v>
      </c>
      <c r="I34" s="1"/>
    </row>
    <row r="35" ht="12.75">
      <c r="B35" s="2"/>
    </row>
    <row r="36" spans="2:7" ht="12.75">
      <c r="B36" s="2" t="s">
        <v>103</v>
      </c>
      <c r="C36" s="1">
        <v>0.093</v>
      </c>
      <c r="D36" s="1">
        <v>0.093</v>
      </c>
      <c r="E36" s="1">
        <v>0.093</v>
      </c>
      <c r="G36" t="s">
        <v>147</v>
      </c>
    </row>
    <row r="37" ht="12.75">
      <c r="B37" s="2"/>
    </row>
    <row r="38" ht="25.5">
      <c r="B38" s="2" t="s">
        <v>34</v>
      </c>
    </row>
    <row r="39" spans="2:5" ht="12.75">
      <c r="B39" s="2" t="s">
        <v>35</v>
      </c>
      <c r="C39" s="6">
        <f>C36*C34</f>
        <v>0.36667068608113135</v>
      </c>
      <c r="D39" s="6">
        <f>D36*D34</f>
        <v>0.3383485445996548</v>
      </c>
      <c r="E39" s="6">
        <f>E36*E34</f>
        <v>0.2962657278388907</v>
      </c>
    </row>
    <row r="40" spans="2:5" ht="12.75">
      <c r="B40" s="2" t="s">
        <v>36</v>
      </c>
      <c r="C40" s="6">
        <f>0.59*C39</f>
        <v>0.21633570478786748</v>
      </c>
      <c r="D40" s="6">
        <f>0.59*D39</f>
        <v>0.19962564131379631</v>
      </c>
      <c r="E40" s="6">
        <f>0.59*E39</f>
        <v>0.1747967794249455</v>
      </c>
    </row>
    <row r="42" spans="2:7" ht="12.75">
      <c r="B42" s="2" t="s">
        <v>40</v>
      </c>
      <c r="C42" s="6">
        <f>85000-4123</f>
        <v>80877</v>
      </c>
      <c r="D42" s="6">
        <f>85000-4123</f>
        <v>80877</v>
      </c>
      <c r="E42" s="6">
        <f>85000-4123</f>
        <v>80877</v>
      </c>
      <c r="G42" t="s">
        <v>148</v>
      </c>
    </row>
    <row r="44" spans="2:7" ht="25.5">
      <c r="B44" s="2" t="s">
        <v>149</v>
      </c>
      <c r="C44" s="6">
        <f>C40/C42*206265</f>
        <v>0.5517326823209254</v>
      </c>
      <c r="D44" s="75">
        <f>D40/D42*206265</f>
        <v>0.5091161010619855</v>
      </c>
      <c r="E44" s="73">
        <f>E40/E42*206265</f>
        <v>0.44579370782900435</v>
      </c>
      <c r="G44" s="3" t="s">
        <v>48</v>
      </c>
    </row>
    <row r="45" spans="2:7" ht="25.5">
      <c r="B45" s="2" t="s">
        <v>52</v>
      </c>
      <c r="D45" s="54">
        <v>0.9</v>
      </c>
      <c r="G45" s="3" t="s">
        <v>43</v>
      </c>
    </row>
    <row r="47" ht="12.75">
      <c r="B47" t="s">
        <v>6</v>
      </c>
    </row>
    <row r="48" ht="12.75">
      <c r="B48" t="s">
        <v>6</v>
      </c>
    </row>
    <row r="49" ht="12.75">
      <c r="B49" s="3" t="s">
        <v>150</v>
      </c>
    </row>
    <row r="51" spans="2:6" s="2" customFormat="1" ht="25.5">
      <c r="B51" s="2" t="s">
        <v>151</v>
      </c>
      <c r="C51" s="72" t="str">
        <f>C30</f>
        <v>37.5% (Challenging)</v>
      </c>
      <c r="D51" s="72" t="str">
        <f>D30</f>
        <v>50% (Design)</v>
      </c>
      <c r="E51" s="72" t="str">
        <f>E30</f>
        <v>87.5% (Excellent)</v>
      </c>
      <c r="F51" s="53"/>
    </row>
    <row r="52" spans="2:5" ht="12.75">
      <c r="B52">
        <v>80</v>
      </c>
      <c r="C52" s="1">
        <f aca="true" t="shared" si="0" ref="C52:E69">DEGREES(ATAN(0.59*C$34*0.066*SQRT(1+((($B52-103)*1000*0.000000589/(PI()*0.066^2))^2))/($B52*1000)))*3600</f>
        <v>0.556997369774376</v>
      </c>
      <c r="D52" s="1">
        <f t="shared" si="0"/>
        <v>0.5139741369108642</v>
      </c>
      <c r="E52" s="1">
        <f t="shared" si="0"/>
        <v>0.450047515181455</v>
      </c>
    </row>
    <row r="53" spans="2:5" ht="12.75">
      <c r="B53">
        <f aca="true" t="shared" si="1" ref="B53:B69">B52+5</f>
        <v>85</v>
      </c>
      <c r="C53" s="1">
        <f t="shared" si="0"/>
        <v>0.47128465910478656</v>
      </c>
      <c r="D53" s="1">
        <f t="shared" si="0"/>
        <v>0.43488199235269004</v>
      </c>
      <c r="E53" s="1">
        <f t="shared" si="0"/>
        <v>0.3807926235973311</v>
      </c>
    </row>
    <row r="54" spans="2:5" ht="12.75">
      <c r="B54">
        <f t="shared" si="1"/>
        <v>90</v>
      </c>
      <c r="C54" s="1">
        <f t="shared" si="0"/>
        <v>0.4031956102917008</v>
      </c>
      <c r="D54" s="1">
        <f t="shared" si="0"/>
        <v>0.3720522340883483</v>
      </c>
      <c r="E54" s="1">
        <f t="shared" si="0"/>
        <v>0.3257774495726623</v>
      </c>
    </row>
    <row r="55" spans="2:5" ht="12.75">
      <c r="B55">
        <f t="shared" si="1"/>
        <v>95</v>
      </c>
      <c r="C55" s="1">
        <f t="shared" si="0"/>
        <v>0.3525495746275011</v>
      </c>
      <c r="D55" s="1">
        <f t="shared" si="0"/>
        <v>0.32531816696158283</v>
      </c>
      <c r="E55" s="1">
        <f t="shared" si="0"/>
        <v>0.2848560310142504</v>
      </c>
    </row>
    <row r="56" spans="2:5" ht="12.75">
      <c r="B56">
        <f t="shared" si="1"/>
        <v>100</v>
      </c>
      <c r="C56" s="1">
        <f t="shared" si="0"/>
        <v>0.31930435039541477</v>
      </c>
      <c r="D56" s="1">
        <f t="shared" si="0"/>
        <v>0.2946408489734983</v>
      </c>
      <c r="E56" s="1">
        <f t="shared" si="0"/>
        <v>0.25799426941677184</v>
      </c>
    </row>
    <row r="57" spans="2:5" ht="12.75">
      <c r="B57">
        <f t="shared" si="1"/>
        <v>105</v>
      </c>
      <c r="C57" s="1">
        <f t="shared" si="0"/>
        <v>0.30271095710337004</v>
      </c>
      <c r="D57" s="1">
        <f t="shared" si="0"/>
        <v>0.27932915190183044</v>
      </c>
      <c r="E57" s="1">
        <f t="shared" si="0"/>
        <v>0.24458699709421497</v>
      </c>
    </row>
    <row r="58" spans="2:5" ht="12.75">
      <c r="B58">
        <f t="shared" si="1"/>
        <v>110</v>
      </c>
      <c r="C58" s="1">
        <f t="shared" si="0"/>
        <v>0.30066896202602267</v>
      </c>
      <c r="D58" s="1">
        <f t="shared" si="0"/>
        <v>0.2774448832958927</v>
      </c>
      <c r="E58" s="1">
        <f t="shared" si="0"/>
        <v>0.24293708838648612</v>
      </c>
    </row>
    <row r="59" spans="2:5" ht="12.75">
      <c r="B59">
        <f t="shared" si="1"/>
        <v>115</v>
      </c>
      <c r="C59" s="1">
        <f t="shared" si="0"/>
        <v>0.3099297923950176</v>
      </c>
      <c r="D59" s="1">
        <f t="shared" si="0"/>
        <v>0.2859903945573012</v>
      </c>
      <c r="E59" s="1">
        <f t="shared" si="0"/>
        <v>0.25041973358779296</v>
      </c>
    </row>
    <row r="60" spans="2:5" ht="12.75">
      <c r="B60">
        <f t="shared" si="1"/>
        <v>120</v>
      </c>
      <c r="C60" s="1">
        <f t="shared" si="0"/>
        <v>0.32699372056789094</v>
      </c>
      <c r="D60" s="1">
        <f t="shared" si="0"/>
        <v>0.3017362817569376</v>
      </c>
      <c r="E60" s="1">
        <f t="shared" si="0"/>
        <v>0.26420719272166127</v>
      </c>
    </row>
    <row r="61" spans="2:5" ht="12.75">
      <c r="B61">
        <f t="shared" si="1"/>
        <v>125</v>
      </c>
      <c r="C61" s="1">
        <f t="shared" si="0"/>
        <v>0.3488932696907682</v>
      </c>
      <c r="D61" s="1">
        <f t="shared" si="0"/>
        <v>0.32194427998092884</v>
      </c>
      <c r="E61" s="1">
        <f t="shared" si="0"/>
        <v>0.28190177837174857</v>
      </c>
    </row>
    <row r="62" spans="2:5" ht="12.75">
      <c r="B62">
        <f t="shared" si="1"/>
        <v>130</v>
      </c>
      <c r="C62" s="1">
        <f t="shared" si="0"/>
        <v>0.37346307014113017</v>
      </c>
      <c r="D62" s="1">
        <f t="shared" si="0"/>
        <v>0.34461627569549297</v>
      </c>
      <c r="E62" s="1">
        <f t="shared" si="0"/>
        <v>0.30175389660647395</v>
      </c>
    </row>
    <row r="63" spans="2:5" ht="12.75">
      <c r="B63">
        <f t="shared" si="1"/>
        <v>135</v>
      </c>
      <c r="C63" s="1">
        <f t="shared" si="0"/>
        <v>0.39925538650059517</v>
      </c>
      <c r="D63" s="1">
        <f t="shared" si="0"/>
        <v>0.3684163585310007</v>
      </c>
      <c r="E63" s="1">
        <f t="shared" si="0"/>
        <v>0.3225937937375099</v>
      </c>
    </row>
    <row r="64" spans="2:5" ht="12.75">
      <c r="B64">
        <f t="shared" si="1"/>
        <v>140</v>
      </c>
      <c r="C64" s="1">
        <f t="shared" si="0"/>
        <v>0.4253493277626149</v>
      </c>
      <c r="D64" s="1">
        <f t="shared" si="0"/>
        <v>0.392494768352191</v>
      </c>
      <c r="E64" s="1">
        <f t="shared" si="0"/>
        <v>0.3436774003459687</v>
      </c>
    </row>
    <row r="65" spans="2:5" ht="12.75">
      <c r="B65">
        <f t="shared" si="1"/>
        <v>145</v>
      </c>
      <c r="C65" s="1">
        <f t="shared" si="0"/>
        <v>0.45117774226574864</v>
      </c>
      <c r="D65" s="1">
        <f t="shared" si="0"/>
        <v>0.4163281610617575</v>
      </c>
      <c r="E65" s="1">
        <f t="shared" si="0"/>
        <v>0.36454646436494065</v>
      </c>
    </row>
    <row r="66" spans="2:5" ht="12.75">
      <c r="B66">
        <f t="shared" si="1"/>
        <v>150</v>
      </c>
      <c r="C66" s="1">
        <f t="shared" si="0"/>
        <v>0.4764017696126513</v>
      </c>
      <c r="D66" s="1">
        <f t="shared" si="0"/>
        <v>0.43960385029938703</v>
      </c>
      <c r="E66" s="1">
        <f t="shared" si="0"/>
        <v>0.38492719046235696</v>
      </c>
    </row>
    <row r="67" spans="2:5" ht="12.75">
      <c r="B67">
        <f t="shared" si="1"/>
        <v>155</v>
      </c>
      <c r="C67" s="1">
        <f t="shared" si="0"/>
        <v>0.5008275494780899</v>
      </c>
      <c r="D67" s="1">
        <f t="shared" si="0"/>
        <v>0.46214294977449744</v>
      </c>
      <c r="E67" s="1">
        <f t="shared" si="0"/>
        <v>0.40466294170885736</v>
      </c>
    </row>
    <row r="68" spans="2:5" ht="12.75">
      <c r="B68">
        <f t="shared" si="1"/>
        <v>160</v>
      </c>
      <c r="C68" s="1">
        <f t="shared" si="0"/>
        <v>0.5243527955883203</v>
      </c>
      <c r="D68" s="1">
        <f t="shared" si="0"/>
        <v>0.48385107394396315</v>
      </c>
      <c r="E68" s="1">
        <f t="shared" si="0"/>
        <v>0.42367107196312354</v>
      </c>
    </row>
    <row r="69" spans="2:5" ht="12.75">
      <c r="B69">
        <f t="shared" si="1"/>
        <v>165</v>
      </c>
      <c r="C69" s="1">
        <f t="shared" si="0"/>
        <v>0.5469328839929429</v>
      </c>
      <c r="D69" s="1">
        <f t="shared" si="0"/>
        <v>0.5046870456718827</v>
      </c>
      <c r="E69" s="1">
        <f t="shared" si="0"/>
        <v>0.4419155255827335</v>
      </c>
    </row>
    <row r="86" ht="38.25" customHeight="1"/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tstalcup</cp:lastModifiedBy>
  <cp:lastPrinted>2009-08-14T00:57:26Z</cp:lastPrinted>
  <dcterms:created xsi:type="dcterms:W3CDTF">1996-10-14T23:33:28Z</dcterms:created>
  <dcterms:modified xsi:type="dcterms:W3CDTF">2009-08-20T02:46:25Z</dcterms:modified>
  <cp:category/>
  <cp:version/>
  <cp:contentType/>
  <cp:contentStatus/>
</cp:coreProperties>
</file>