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7950" windowHeight="5925" tabRatio="768" activeTab="0"/>
  </bookViews>
  <sheets>
    <sheet name="Explanation" sheetId="1" r:id="rId1"/>
    <sheet name="SDR Cost Estimate (FY08)" sheetId="2" r:id="rId2"/>
    <sheet name="NIR Imager ROM" sheetId="3" r:id="rId3"/>
    <sheet name="Vis Imager ROM" sheetId="4" r:id="rId4"/>
    <sheet name="Cost Est (then-yr)" sheetId="5" r:id="rId5"/>
    <sheet name="SCRD Requirements" sheetId="6" r:id="rId6"/>
    <sheet name="Proposed Savings" sheetId="7" r:id="rId7"/>
    <sheet name="B2C Review tables" sheetId="8" r:id="rId8"/>
    <sheet name="K2 Launch Telescope" sheetId="9" r:id="rId9"/>
    <sheet name="B2C Cost Est (FY08)" sheetId="10" r:id="rId10"/>
    <sheet name="SDR - B2C Cost Est (FY08)" sheetId="11" r:id="rId11"/>
    <sheet name="B2C Instrument Est" sheetId="12" r:id="rId12"/>
    <sheet name="B2C Summary Est (then-yr)" sheetId="13" r:id="rId13"/>
  </sheets>
  <definedNames>
    <definedName name="_ftn1" localSheetId="5">'SCRD Requirements'!#REF!</definedName>
    <definedName name="_ftnref1" localSheetId="5">'SCRD Requirements'!#REF!</definedName>
  </definedNames>
  <calcPr fullCalcOnLoad="1"/>
</workbook>
</file>

<file path=xl/comments10.xml><?xml version="1.0" encoding="utf-8"?>
<comments xmlns="http://schemas.openxmlformats.org/spreadsheetml/2006/main">
  <authors>
    <author>peterw</author>
  </authors>
  <commentList>
    <comment ref="AN64" authorId="0">
      <text>
        <r>
          <rPr>
            <b/>
            <sz val="8"/>
            <rFont val="Tahoma"/>
            <family val="0"/>
          </rPr>
          <t>peterw:</t>
        </r>
        <r>
          <rPr>
            <sz val="8"/>
            <rFont val="Tahoma"/>
            <family val="0"/>
          </rPr>
          <t xml:space="preserve">
Remove $75k for PSF monitor DM &amp; $20k for TWFS TT mechanism.
Increase the cost of the 3 TT DMs from $75k each to $150k each.  
Increase the cost of the tweeter DM from $400k to $600k.
Reduce the woofer DM size from 140 to 100 mm.  This reduces the $500k DM &amp; $200k TT mechanism costs by 15%.</t>
        </r>
      </text>
    </comment>
    <comment ref="AN63" authorId="0">
      <text>
        <r>
          <rPr>
            <b/>
            <sz val="8"/>
            <rFont val="Tahoma"/>
            <family val="0"/>
          </rPr>
          <t>peterw:</t>
        </r>
        <r>
          <rPr>
            <sz val="8"/>
            <rFont val="Tahoma"/>
            <family val="0"/>
          </rPr>
          <t xml:space="preserve">
Reduce total cost of FPGAs by 1/3rd of $364k total.
Remove cost of two LGS WFS boards at $2.5k each.</t>
        </r>
      </text>
    </comment>
    <comment ref="AP68" authorId="0">
      <text>
        <r>
          <rPr>
            <b/>
            <sz val="8"/>
            <rFont val="Tahoma"/>
            <family val="0"/>
          </rPr>
          <t>peterw:</t>
        </r>
        <r>
          <rPr>
            <sz val="8"/>
            <rFont val="Tahoma"/>
            <family val="0"/>
          </rPr>
          <t xml:space="preserve">
Increased contingency from 20 to 30%.</t>
        </r>
      </text>
    </comment>
    <comment ref="BA68" authorId="0">
      <text>
        <r>
          <rPr>
            <b/>
            <sz val="8"/>
            <rFont val="Tahoma"/>
            <family val="0"/>
          </rPr>
          <t>peterw:</t>
        </r>
        <r>
          <rPr>
            <sz val="8"/>
            <rFont val="Tahoma"/>
            <family val="0"/>
          </rPr>
          <t xml:space="preserve">
Increased contingency from 13 to 30%.</t>
        </r>
      </text>
    </comment>
    <comment ref="AE68" authorId="0">
      <text>
        <r>
          <rPr>
            <b/>
            <sz val="8"/>
            <rFont val="Tahoma"/>
            <family val="0"/>
          </rPr>
          <t>peterw:</t>
        </r>
        <r>
          <rPr>
            <sz val="8"/>
            <rFont val="Tahoma"/>
            <family val="0"/>
          </rPr>
          <t xml:space="preserve">
Increased contingency from 17 to 30%.</t>
        </r>
      </text>
    </comment>
    <comment ref="AN69" authorId="0">
      <text>
        <r>
          <rPr>
            <b/>
            <sz val="8"/>
            <rFont val="Tahoma"/>
            <family val="0"/>
          </rPr>
          <t>peterw:</t>
        </r>
        <r>
          <rPr>
            <sz val="8"/>
            <rFont val="Tahoma"/>
            <family val="0"/>
          </rPr>
          <t xml:space="preserve">
Launch telescope estimate increased from $700k to $790k based on GA quote.
Moved procurement of UTT mirrors to WBS 4.2.5.
Removed 2 of 9 beams from BT-opt, BT-mech, BT-DIAGb, LasShut).
Reduced 20 units per LGS to 14 units per LGS since on El ring.
Reduced $75k for asterism generator to $60k for simpler system.</t>
        </r>
      </text>
    </comment>
    <comment ref="AP69" authorId="0">
      <text>
        <r>
          <rPr>
            <b/>
            <sz val="8"/>
            <rFont val="Tahoma"/>
            <family val="0"/>
          </rPr>
          <t>peterw:</t>
        </r>
        <r>
          <rPr>
            <sz val="8"/>
            <rFont val="Tahoma"/>
            <family val="0"/>
          </rPr>
          <t xml:space="preserve">
Considered reducing contingency from 32% to 25% because of GA quote that covers $790k of budget.  Did not do this yet.</t>
        </r>
      </text>
    </comment>
    <comment ref="AP63" authorId="0">
      <text>
        <r>
          <rPr>
            <b/>
            <sz val="8"/>
            <rFont val="Tahoma"/>
            <family val="0"/>
          </rPr>
          <t>peterw:</t>
        </r>
        <r>
          <rPr>
            <sz val="8"/>
            <rFont val="Tahoma"/>
            <family val="0"/>
          </rPr>
          <t xml:space="preserve">
Decided not to increase contingency (which we might have done based on the NFIRAOS cost comparison) since we have not reduced the labor but the complexity has decreased significantly.</t>
        </r>
      </text>
    </comment>
    <comment ref="AN43" authorId="0">
      <text>
        <r>
          <rPr>
            <b/>
            <sz val="8"/>
            <rFont val="Tahoma"/>
            <family val="0"/>
          </rPr>
          <t>peterw:</t>
        </r>
        <r>
          <rPr>
            <sz val="8"/>
            <rFont val="Tahoma"/>
            <family val="0"/>
          </rPr>
          <t xml:space="preserve">
Moved UTT mirror procurement from WBS 5.3 (7 units instead of 9).
Removed 2 LGS WFS by reducing the detector ($855k), optics ($126k) &amp; mounts ($45k) by 2/9 (note: did not reduce the shop charges ($50k)).
LGS WFS had 61 dof: 9 focus, 8 rotation, 18 lenslets, 9 detector focus, 16 pickoff &amp; 1 assembly focus.
We remove 14 dof with the 2 LGS WFS reduction &amp; 4 focus &amp; 3 rotation with the fixed asterism (perhaps more).  This reduces the $172k motion control cost by 21/61. 
Removed $50k (WAG) for only 1 instead of 3 lenslet arrays. 
Removed $25k (WAG) for LGS WFS not needing to be in the cold room &amp; taking into account that a window will be needed.</t>
        </r>
      </text>
    </comment>
    <comment ref="AM43" authorId="0">
      <text>
        <r>
          <rPr>
            <b/>
            <sz val="8"/>
            <rFont val="Tahoma"/>
            <family val="0"/>
          </rPr>
          <t>peterw:</t>
        </r>
        <r>
          <rPr>
            <sz val="8"/>
            <rFont val="Tahoma"/>
            <family val="0"/>
          </rPr>
          <t xml:space="preserve">
Reduced by 10% due to much lower complexity.</t>
        </r>
      </text>
    </comment>
    <comment ref="AB43" authorId="0">
      <text>
        <r>
          <rPr>
            <b/>
            <sz val="8"/>
            <rFont val="Tahoma"/>
            <family val="0"/>
          </rPr>
          <t>peterw:</t>
        </r>
        <r>
          <rPr>
            <sz val="8"/>
            <rFont val="Tahoma"/>
            <family val="0"/>
          </rPr>
          <t xml:space="preserve">
Reduced by 10% due to much lower complexity.</t>
        </r>
      </text>
    </comment>
    <comment ref="AN58" authorId="0">
      <text>
        <r>
          <rPr>
            <b/>
            <sz val="8"/>
            <rFont val="Tahoma"/>
            <family val="0"/>
          </rPr>
          <t>peterw:</t>
        </r>
        <r>
          <rPr>
            <sz val="8"/>
            <rFont val="Tahoma"/>
            <family val="0"/>
          </rPr>
          <t xml:space="preserve">
EJ estimate of $74k reduction in HW related to other cost savings.</t>
        </r>
      </text>
    </comment>
    <comment ref="AJ56" authorId="0">
      <text>
        <r>
          <rPr>
            <b/>
            <sz val="8"/>
            <rFont val="Tahoma"/>
            <family val="0"/>
          </rPr>
          <t>peterw:</t>
        </r>
        <r>
          <rPr>
            <sz val="8"/>
            <rFont val="Tahoma"/>
            <family val="0"/>
          </rPr>
          <t xml:space="preserve">
EJ estimate of 1500h reduction related to other cost savings.</t>
        </r>
      </text>
    </comment>
    <comment ref="AN72" authorId="0">
      <text>
        <r>
          <rPr>
            <b/>
            <sz val="8"/>
            <rFont val="Tahoma"/>
            <family val="0"/>
          </rPr>
          <t>peterw:</t>
        </r>
        <r>
          <rPr>
            <sz val="8"/>
            <rFont val="Tahoma"/>
            <family val="0"/>
          </rPr>
          <t xml:space="preserve">
Assume reuse of HQ K1 laser lab.  Remove $20k for ice wagon.</t>
        </r>
      </text>
    </comment>
    <comment ref="AJ72" authorId="0">
      <text>
        <r>
          <rPr>
            <b/>
            <sz val="8"/>
            <rFont val="Tahoma"/>
            <family val="0"/>
          </rPr>
          <t>peterw:</t>
        </r>
        <r>
          <rPr>
            <sz val="8"/>
            <rFont val="Tahoma"/>
            <family val="0"/>
          </rPr>
          <t xml:space="preserve">
Assumes reuse of HQ K1 laser lab.  Removes 400h of lab infrastructure mods work.</t>
        </r>
      </text>
    </comment>
    <comment ref="AN91" authorId="0">
      <text>
        <r>
          <rPr>
            <b/>
            <sz val="8"/>
            <rFont val="Tahoma"/>
            <family val="0"/>
          </rPr>
          <t>peterw:</t>
        </r>
        <r>
          <rPr>
            <sz val="8"/>
            <rFont val="Tahoma"/>
            <family val="0"/>
          </rPr>
          <t xml:space="preserve">
For SDR estimated would need 3 pumps at $25k each &amp; 3 chillers at $33.334k each to support 150W of laser power.  Cut this estimate in 1/2.</t>
        </r>
      </text>
    </comment>
    <comment ref="AU99" authorId="0">
      <text>
        <r>
          <rPr>
            <b/>
            <sz val="8"/>
            <rFont val="Tahoma"/>
            <family val="0"/>
          </rPr>
          <t>peterw:</t>
        </r>
        <r>
          <rPr>
            <sz val="8"/>
            <rFont val="Tahoma"/>
            <family val="0"/>
          </rPr>
          <t xml:space="preserve">
Reduce labor by 20% for reduced system complexity: simpler asterism &amp; laser on elevation ring.</t>
        </r>
      </text>
    </comment>
    <comment ref="AJ91" authorId="0">
      <text>
        <r>
          <rPr>
            <b/>
            <sz val="8"/>
            <rFont val="Tahoma"/>
            <family val="0"/>
          </rPr>
          <t>peterw:</t>
        </r>
        <r>
          <rPr>
            <sz val="8"/>
            <rFont val="Tahoma"/>
            <family val="0"/>
          </rPr>
          <t xml:space="preserve">
Reduce labor by 10% for simpler beam transport due to laser on el ring + fewer pumps &amp; chillers.</t>
        </r>
      </text>
    </comment>
    <comment ref="Y91" authorId="0">
      <text>
        <r>
          <rPr>
            <b/>
            <sz val="8"/>
            <rFont val="Tahoma"/>
            <family val="0"/>
          </rPr>
          <t>peterw:</t>
        </r>
        <r>
          <rPr>
            <sz val="8"/>
            <rFont val="Tahoma"/>
            <family val="0"/>
          </rPr>
          <t xml:space="preserve">
Reduce labor by 5% for simpler beam transport due to laser on el ring + fewer pumps &amp; chillers.</t>
        </r>
      </text>
    </comment>
    <comment ref="AC91" authorId="0">
      <text>
        <r>
          <rPr>
            <b/>
            <sz val="8"/>
            <rFont val="Tahoma"/>
            <family val="0"/>
          </rPr>
          <t>peterw:</t>
        </r>
        <r>
          <rPr>
            <sz val="8"/>
            <rFont val="Tahoma"/>
            <family val="0"/>
          </rPr>
          <t xml:space="preserve">
Remove $10k subcontract for beam train.</t>
        </r>
      </text>
    </comment>
    <comment ref="AN37" authorId="0">
      <text>
        <r>
          <rPr>
            <b/>
            <sz val="8"/>
            <rFont val="Tahoma"/>
            <family val="0"/>
          </rPr>
          <t>peterw:</t>
        </r>
        <r>
          <rPr>
            <sz val="8"/>
            <rFont val="Tahoma"/>
            <family val="0"/>
          </rPr>
          <t xml:space="preserve">
Estimate of $150k less for enclosure assuming that it only needs to surround the AO bench.</t>
        </r>
      </text>
    </comment>
    <comment ref="AN90" authorId="0">
      <text>
        <r>
          <rPr>
            <b/>
            <sz val="8"/>
            <rFont val="Tahoma"/>
            <family val="0"/>
          </rPr>
          <t>peterw:</t>
        </r>
        <r>
          <rPr>
            <sz val="8"/>
            <rFont val="Tahoma"/>
            <family val="0"/>
          </rPr>
          <t xml:space="preserve">
Estimate of $150k less for infrastructure mods assuming cold room will only surround AO bench.</t>
        </r>
      </text>
    </comment>
    <comment ref="AJ90" authorId="0">
      <text>
        <r>
          <rPr>
            <b/>
            <sz val="8"/>
            <rFont val="Tahoma"/>
            <family val="0"/>
          </rPr>
          <t>peterw:</t>
        </r>
        <r>
          <rPr>
            <sz val="8"/>
            <rFont val="Tahoma"/>
            <family val="0"/>
          </rPr>
          <t xml:space="preserve">
Estimate of 10% less labor if cold room only needs to surround AO bench.</t>
        </r>
      </text>
    </comment>
    <comment ref="AN42" authorId="0">
      <text>
        <r>
          <rPr>
            <b/>
            <sz val="8"/>
            <rFont val="Tahoma"/>
            <family val="0"/>
          </rPr>
          <t>peterw:</t>
        </r>
        <r>
          <rPr>
            <sz val="8"/>
            <rFont val="Tahoma"/>
            <family val="0"/>
          </rPr>
          <t xml:space="preserve">
Assume LGS dichroic is fixed = $4k.
Assume no post-relay 1 dichroics = $120k + $2k + $30k.
Assume no LGS acq fold or switcher = $1k + $4k.
Assume no vis imager dichroic = $10k + $17k.
Assume no OSIRIS fold = $1k + $2k.</t>
        </r>
      </text>
    </comment>
    <comment ref="Y42" authorId="0">
      <text>
        <r>
          <rPr>
            <b/>
            <sz val="8"/>
            <rFont val="Tahoma"/>
            <family val="0"/>
          </rPr>
          <t>peterw:</t>
        </r>
        <r>
          <rPr>
            <sz val="8"/>
            <rFont val="Tahoma"/>
            <family val="0"/>
          </rPr>
          <t xml:space="preserve">
Reduced labor by 60% for much simpler switchyard.</t>
        </r>
      </text>
    </comment>
    <comment ref="AJ42" authorId="0">
      <text>
        <r>
          <rPr>
            <b/>
            <sz val="8"/>
            <rFont val="Tahoma"/>
            <family val="0"/>
          </rPr>
          <t>peterw:</t>
        </r>
        <r>
          <rPr>
            <sz val="8"/>
            <rFont val="Tahoma"/>
            <family val="0"/>
          </rPr>
          <t xml:space="preserve">
Reduced labor by 60% for much simpler switchyard.</t>
        </r>
      </text>
    </comment>
    <comment ref="AN44" authorId="0">
      <text>
        <r>
          <rPr>
            <b/>
            <sz val="8"/>
            <rFont val="Tahoma"/>
            <family val="0"/>
          </rPr>
          <t>peterw:</t>
        </r>
        <r>
          <rPr>
            <sz val="8"/>
            <rFont val="Tahoma"/>
            <family val="0"/>
          </rPr>
          <t xml:space="preserve">
Remove TWFS = $45k for detector + assume $25k (of $66k total) for optics &amp; $5k (of $15k for mounts &amp; shop charges) for mounts.
Assume only 2 lenslets &amp; assume can save $5k.</t>
        </r>
      </text>
    </comment>
    <comment ref="AJ44" authorId="0">
      <text>
        <r>
          <rPr>
            <b/>
            <sz val="8"/>
            <rFont val="Tahoma"/>
            <family val="0"/>
          </rPr>
          <t>peterw:</t>
        </r>
        <r>
          <rPr>
            <sz val="8"/>
            <rFont val="Tahoma"/>
            <family val="0"/>
          </rPr>
          <t xml:space="preserve">
Assume labor reduced by 30% for no TWFS.</t>
        </r>
      </text>
    </comment>
    <comment ref="Y44" authorId="0">
      <text>
        <r>
          <rPr>
            <b/>
            <sz val="8"/>
            <rFont val="Tahoma"/>
            <family val="0"/>
          </rPr>
          <t>peterw:</t>
        </r>
        <r>
          <rPr>
            <sz val="8"/>
            <rFont val="Tahoma"/>
            <family val="0"/>
          </rPr>
          <t xml:space="preserve">
Assume labor reduced by 30% for no TWFS.</t>
        </r>
      </text>
    </comment>
    <comment ref="AN45" authorId="0">
      <text>
        <r>
          <rPr>
            <b/>
            <sz val="8"/>
            <rFont val="Tahoma"/>
            <family val="0"/>
          </rPr>
          <t>peterw:</t>
        </r>
        <r>
          <rPr>
            <sz val="8"/>
            <rFont val="Tahoma"/>
            <family val="0"/>
          </rPr>
          <t xml:space="preserve">
Assume a vis TWFS for a ($100k-$45k) savings.</t>
        </r>
      </text>
    </comment>
    <comment ref="AJ68" authorId="0">
      <text>
        <r>
          <rPr>
            <b/>
            <sz val="8"/>
            <rFont val="Tahoma"/>
            <family val="0"/>
          </rPr>
          <t>peterw:</t>
        </r>
        <r>
          <rPr>
            <sz val="8"/>
            <rFont val="Tahoma"/>
            <family val="0"/>
          </rPr>
          <t xml:space="preserve">
Reduce hours by a factor of 2 since this will be a vendor contract.
Add labor $ reduction to non labor $.</t>
        </r>
      </text>
    </comment>
    <comment ref="Y68" authorId="0">
      <text>
        <r>
          <rPr>
            <b/>
            <sz val="8"/>
            <rFont val="Tahoma"/>
            <family val="0"/>
          </rPr>
          <t>peterw:</t>
        </r>
        <r>
          <rPr>
            <sz val="8"/>
            <rFont val="Tahoma"/>
            <family val="0"/>
          </rPr>
          <t xml:space="preserve">
Reduce hours by a factor of 2 since this will be a vendor contract.
Added labor $ reduction to non-labor $.</t>
        </r>
      </text>
    </comment>
    <comment ref="AU98" authorId="0">
      <text>
        <r>
          <rPr>
            <b/>
            <sz val="8"/>
            <rFont val="Tahoma"/>
            <family val="0"/>
          </rPr>
          <t>peterw:</t>
        </r>
        <r>
          <rPr>
            <sz val="8"/>
            <rFont val="Tahoma"/>
            <family val="0"/>
          </rPr>
          <t xml:space="preserve">
Remove 400h for d-IFS install.
Remove 280h for OSIRIS install.</t>
        </r>
      </text>
    </comment>
    <comment ref="AJ43" authorId="0">
      <text>
        <r>
          <rPr>
            <b/>
            <sz val="8"/>
            <rFont val="Tahoma"/>
            <family val="0"/>
          </rPr>
          <t>peterw:</t>
        </r>
        <r>
          <rPr>
            <sz val="8"/>
            <rFont val="Tahoma"/>
            <family val="0"/>
          </rPr>
          <t xml:space="preserve">
Reduced labor by 15% for simpler system.</t>
        </r>
      </text>
    </comment>
    <comment ref="Y76" authorId="0">
      <text>
        <r>
          <rPr>
            <b/>
            <sz val="8"/>
            <rFont val="Tahoma"/>
            <family val="0"/>
          </rPr>
          <t>peterw:</t>
        </r>
        <r>
          <rPr>
            <sz val="8"/>
            <rFont val="Tahoma"/>
            <family val="0"/>
          </rPr>
          <t xml:space="preserve">
Reduced by 5% for less complex system (fewer devices to setup &amp; fewer modes).</t>
        </r>
      </text>
    </comment>
    <comment ref="Y77" authorId="0">
      <text>
        <r>
          <rPr>
            <b/>
            <sz val="8"/>
            <rFont val="Tahoma"/>
            <family val="0"/>
          </rPr>
          <t>peterw:</t>
        </r>
        <r>
          <rPr>
            <sz val="8"/>
            <rFont val="Tahoma"/>
            <family val="0"/>
          </rPr>
          <t xml:space="preserve">
Reduced by 5% for less complex system (fewer devices to setup &amp; fewer modes).</t>
        </r>
      </text>
    </comment>
    <comment ref="AJ76" authorId="0">
      <text>
        <r>
          <rPr>
            <b/>
            <sz val="8"/>
            <rFont val="Tahoma"/>
            <family val="0"/>
          </rPr>
          <t>peterw:</t>
        </r>
        <r>
          <rPr>
            <sz val="8"/>
            <rFont val="Tahoma"/>
            <family val="0"/>
          </rPr>
          <t xml:space="preserve">
Reduced by 5% for less complex system (fewer devices to setup &amp; fewer modes).</t>
        </r>
      </text>
    </comment>
    <comment ref="AJ77" authorId="0">
      <text>
        <r>
          <rPr>
            <b/>
            <sz val="8"/>
            <rFont val="Tahoma"/>
            <family val="0"/>
          </rPr>
          <t>peterw:</t>
        </r>
        <r>
          <rPr>
            <sz val="8"/>
            <rFont val="Tahoma"/>
            <family val="0"/>
          </rPr>
          <t xml:space="preserve">
Reduced by 5% for less complex system (fewer devices to setup &amp; fewer modes).</t>
        </r>
      </text>
    </comment>
    <comment ref="AJ81" authorId="0">
      <text>
        <r>
          <rPr>
            <b/>
            <sz val="8"/>
            <rFont val="Tahoma"/>
            <family val="0"/>
          </rPr>
          <t>peterw:</t>
        </r>
        <r>
          <rPr>
            <sz val="8"/>
            <rFont val="Tahoma"/>
            <family val="0"/>
          </rPr>
          <t xml:space="preserve">
Reduced by 5% for less complex system (fewer devices to setup &amp; fewer modes).</t>
        </r>
      </text>
    </comment>
    <comment ref="Y81" authorId="0">
      <text>
        <r>
          <rPr>
            <b/>
            <sz val="8"/>
            <rFont val="Tahoma"/>
            <family val="0"/>
          </rPr>
          <t>peterw:</t>
        </r>
        <r>
          <rPr>
            <sz val="8"/>
            <rFont val="Tahoma"/>
            <family val="0"/>
          </rPr>
          <t xml:space="preserve">
Reduced by 5% for less complex system (fewer devices to setup &amp; fewer modes).</t>
        </r>
      </text>
    </comment>
    <comment ref="AA68" authorId="0">
      <text>
        <r>
          <rPr>
            <b/>
            <sz val="8"/>
            <rFont val="Tahoma"/>
            <family val="0"/>
          </rPr>
          <t>peterw:</t>
        </r>
        <r>
          <rPr>
            <sz val="8"/>
            <rFont val="Tahoma"/>
            <family val="0"/>
          </rPr>
          <t xml:space="preserve">
Reduce number of trips by 1/3rd.</t>
        </r>
      </text>
    </comment>
    <comment ref="AL68" authorId="0">
      <text>
        <r>
          <rPr>
            <b/>
            <sz val="8"/>
            <rFont val="Tahoma"/>
            <family val="0"/>
          </rPr>
          <t>peterw:</t>
        </r>
        <r>
          <rPr>
            <sz val="8"/>
            <rFont val="Tahoma"/>
            <family val="0"/>
          </rPr>
          <t xml:space="preserve">
Reduce number of trips by 1/3rd.</t>
        </r>
      </text>
    </comment>
    <comment ref="AJ48" authorId="0">
      <text>
        <r>
          <rPr>
            <b/>
            <sz val="8"/>
            <rFont val="Tahoma"/>
            <family val="0"/>
          </rPr>
          <t>peterw:</t>
        </r>
        <r>
          <rPr>
            <sz val="8"/>
            <rFont val="Tahoma"/>
            <family val="0"/>
          </rPr>
          <t xml:space="preserve">
Reduce by 60%.
No NGS WFS ADC.
No LOWFS ADC (design but don't fab/install).
Only science ADC with broader wavelength range.</t>
        </r>
      </text>
    </comment>
    <comment ref="AA6" authorId="0">
      <text>
        <r>
          <rPr>
            <b/>
            <sz val="8"/>
            <rFont val="Tahoma"/>
            <family val="0"/>
          </rPr>
          <t>peterw:</t>
        </r>
        <r>
          <rPr>
            <sz val="8"/>
            <rFont val="Tahoma"/>
            <family val="0"/>
          </rPr>
          <t xml:space="preserve">
10% reduction in travel.</t>
        </r>
      </text>
    </comment>
    <comment ref="AL6" authorId="0">
      <text>
        <r>
          <rPr>
            <b/>
            <sz val="8"/>
            <rFont val="Tahoma"/>
            <family val="0"/>
          </rPr>
          <t>peterw:</t>
        </r>
        <r>
          <rPr>
            <sz val="8"/>
            <rFont val="Tahoma"/>
            <family val="0"/>
          </rPr>
          <t xml:space="preserve">
10% reduction in travel.</t>
        </r>
      </text>
    </comment>
    <comment ref="AJ11" authorId="0">
      <text>
        <r>
          <rPr>
            <b/>
            <sz val="8"/>
            <rFont val="Tahoma"/>
            <family val="0"/>
          </rPr>
          <t>peterw:</t>
        </r>
        <r>
          <rPr>
            <sz val="8"/>
            <rFont val="Tahoma"/>
            <family val="0"/>
          </rPr>
          <t xml:space="preserve">
Assume a 10% reduction</t>
        </r>
      </text>
    </comment>
    <comment ref="Y11" authorId="0">
      <text>
        <r>
          <rPr>
            <b/>
            <sz val="8"/>
            <rFont val="Tahoma"/>
            <family val="0"/>
          </rPr>
          <t>peterw:</t>
        </r>
        <r>
          <rPr>
            <sz val="8"/>
            <rFont val="Tahoma"/>
            <family val="0"/>
          </rPr>
          <t xml:space="preserve">
Assume a 10% reduction.</t>
        </r>
      </text>
    </comment>
    <comment ref="R34" authorId="0">
      <text>
        <r>
          <rPr>
            <b/>
            <sz val="8"/>
            <rFont val="Tahoma"/>
            <family val="0"/>
          </rPr>
          <t>peterw:</t>
        </r>
        <r>
          <rPr>
            <sz val="8"/>
            <rFont val="Tahoma"/>
            <family val="0"/>
          </rPr>
          <t xml:space="preserve">
Removed $35k for atmospheric profiler due to TMT donation + CFHT/UH implementation.
Removed remainder, ~$70k, for LOWFS prototype.</t>
        </r>
      </text>
    </comment>
    <comment ref="N11" authorId="0">
      <text>
        <r>
          <rPr>
            <b/>
            <sz val="8"/>
            <rFont val="Tahoma"/>
            <family val="0"/>
          </rPr>
          <t>peterw:</t>
        </r>
        <r>
          <rPr>
            <sz val="8"/>
            <rFont val="Tahoma"/>
            <family val="0"/>
          </rPr>
          <t xml:space="preserve">
Assume 10% reduction.</t>
        </r>
      </text>
    </comment>
    <comment ref="N6" authorId="0">
      <text>
        <r>
          <rPr>
            <b/>
            <sz val="8"/>
            <rFont val="Tahoma"/>
            <family val="0"/>
          </rPr>
          <t>peterw:</t>
        </r>
        <r>
          <rPr>
            <sz val="8"/>
            <rFont val="Tahoma"/>
            <family val="0"/>
          </rPr>
          <t xml:space="preserve">
Assume 5% reduction for fewer team meetings.</t>
        </r>
      </text>
    </comment>
    <comment ref="N44" authorId="0">
      <text>
        <r>
          <rPr>
            <b/>
            <sz val="8"/>
            <rFont val="Tahoma"/>
            <family val="0"/>
          </rPr>
          <t>peterw:</t>
        </r>
        <r>
          <rPr>
            <sz val="8"/>
            <rFont val="Tahoma"/>
            <family val="0"/>
          </rPr>
          <t xml:space="preserve">
20% reduction for no TWFS.</t>
        </r>
      </text>
    </comment>
    <comment ref="N43" authorId="0">
      <text>
        <r>
          <rPr>
            <b/>
            <sz val="8"/>
            <rFont val="Tahoma"/>
            <family val="0"/>
          </rPr>
          <t>peterw:</t>
        </r>
        <r>
          <rPr>
            <sz val="8"/>
            <rFont val="Tahoma"/>
            <family val="0"/>
          </rPr>
          <t xml:space="preserve">
15% reduction for significantly simpler system.</t>
        </r>
      </text>
    </comment>
    <comment ref="Y92" authorId="0">
      <text>
        <r>
          <rPr>
            <b/>
            <sz val="8"/>
            <rFont val="Tahoma"/>
            <family val="0"/>
          </rPr>
          <t>peterw:</t>
        </r>
        <r>
          <rPr>
            <sz val="8"/>
            <rFont val="Tahoma"/>
            <family val="0"/>
          </rPr>
          <t xml:space="preserve">
Cancelled this task.</t>
        </r>
      </text>
    </comment>
    <comment ref="N92" authorId="0">
      <text>
        <r>
          <rPr>
            <b/>
            <sz val="8"/>
            <rFont val="Tahoma"/>
            <family val="0"/>
          </rPr>
          <t>peterw:</t>
        </r>
        <r>
          <rPr>
            <sz val="8"/>
            <rFont val="Tahoma"/>
            <family val="0"/>
          </rPr>
          <t xml:space="preserve">
Cancelled this task.</t>
        </r>
      </text>
    </comment>
    <comment ref="N48" authorId="0">
      <text>
        <r>
          <rPr>
            <b/>
            <sz val="8"/>
            <rFont val="Tahoma"/>
            <family val="0"/>
          </rPr>
          <t>peterw:</t>
        </r>
        <r>
          <rPr>
            <sz val="8"/>
            <rFont val="Tahoma"/>
            <family val="0"/>
          </rPr>
          <t xml:space="preserve">
Fewer ADCs.</t>
        </r>
      </text>
    </comment>
    <comment ref="P6" authorId="0">
      <text>
        <r>
          <rPr>
            <b/>
            <sz val="8"/>
            <rFont val="Tahoma"/>
            <family val="0"/>
          </rPr>
          <t>peterw:</t>
        </r>
        <r>
          <rPr>
            <sz val="8"/>
            <rFont val="Tahoma"/>
            <family val="0"/>
          </rPr>
          <t xml:space="preserve">
15% less.</t>
        </r>
      </text>
    </comment>
    <comment ref="Y48" authorId="0">
      <text>
        <r>
          <rPr>
            <b/>
            <sz val="8"/>
            <rFont val="Tahoma"/>
            <family val="0"/>
          </rPr>
          <t>peterw:</t>
        </r>
        <r>
          <rPr>
            <sz val="8"/>
            <rFont val="Tahoma"/>
            <family val="0"/>
          </rPr>
          <t xml:space="preserve">
10% reduction.</t>
        </r>
      </text>
    </comment>
    <comment ref="N68" authorId="0">
      <text>
        <r>
          <rPr>
            <b/>
            <sz val="8"/>
            <rFont val="Tahoma"/>
            <family val="0"/>
          </rPr>
          <t>peterw:</t>
        </r>
        <r>
          <rPr>
            <sz val="8"/>
            <rFont val="Tahoma"/>
            <family val="0"/>
          </rPr>
          <t xml:space="preserve">
Shifted 30% of labor to non-labor.</t>
        </r>
      </text>
    </comment>
    <comment ref="R68" authorId="0">
      <text>
        <r>
          <rPr>
            <b/>
            <sz val="8"/>
            <rFont val="Tahoma"/>
            <family val="0"/>
          </rPr>
          <t>peterw:</t>
        </r>
        <r>
          <rPr>
            <sz val="8"/>
            <rFont val="Tahoma"/>
            <family val="0"/>
          </rPr>
          <t xml:space="preserve">
Moved labor $ to procurements for risk reduction activities.</t>
        </r>
      </text>
    </comment>
  </commentList>
</comments>
</file>

<file path=xl/comments11.xml><?xml version="1.0" encoding="utf-8"?>
<comments xmlns="http://schemas.openxmlformats.org/spreadsheetml/2006/main">
  <authors>
    <author>peterw</author>
  </authors>
  <commentList>
    <comment ref="AB43" authorId="0">
      <text>
        <r>
          <rPr>
            <b/>
            <sz val="8"/>
            <rFont val="Tahoma"/>
            <family val="0"/>
          </rPr>
          <t>peterw:</t>
        </r>
        <r>
          <rPr>
            <sz val="8"/>
            <rFont val="Tahoma"/>
            <family val="0"/>
          </rPr>
          <t xml:space="preserve">
Reduced by 10% due to much lower complexity.</t>
        </r>
      </text>
    </comment>
    <comment ref="AM43" authorId="0">
      <text>
        <r>
          <rPr>
            <b/>
            <sz val="8"/>
            <rFont val="Tahoma"/>
            <family val="0"/>
          </rPr>
          <t>peterw:</t>
        </r>
        <r>
          <rPr>
            <sz val="8"/>
            <rFont val="Tahoma"/>
            <family val="0"/>
          </rPr>
          <t xml:space="preserve">
Reduced by 10% due to much lower complexity.</t>
        </r>
      </text>
    </comment>
    <comment ref="AN43" authorId="0">
      <text>
        <r>
          <rPr>
            <b/>
            <sz val="8"/>
            <rFont val="Tahoma"/>
            <family val="0"/>
          </rPr>
          <t>peterw:</t>
        </r>
        <r>
          <rPr>
            <sz val="8"/>
            <rFont val="Tahoma"/>
            <family val="0"/>
          </rPr>
          <t xml:space="preserve">
Moved UTT mirror procurement from WBS 5.3 (7 units instead of 9).
Removed 2 LGS WFS by reducing the detector ($855k), optics ($126k) &amp; mounts ($45k) by 2/9 (note: did not reduce the shop charges ($50k)).
LGS WFS had 61 dof: 9 focus, 8 rotation, 18 lenslets, 9 detector focus, 16 pickoff &amp; 1 assembly focus.
We remove 14 dof with the 2 LGS WFS reduction &amp; 4 focus &amp; 3 rotation with the fixed asterism (perhaps more).  This reduces the $172k motion control cost by 21/61. 
Removed $25k for only 2 instead of 3 lenslet arrays. </t>
        </r>
      </text>
    </comment>
    <comment ref="AN64" authorId="0">
      <text>
        <r>
          <rPr>
            <b/>
            <sz val="8"/>
            <rFont val="Tahoma"/>
            <family val="0"/>
          </rPr>
          <t>peterw:</t>
        </r>
        <r>
          <rPr>
            <sz val="8"/>
            <rFont val="Tahoma"/>
            <family val="0"/>
          </rPr>
          <t xml:space="preserve">
Remove $75k for PSF monitor DM &amp; $20k for TWFS TT mechanism.
Increase the cost of the 3 TT DMs from $75k each to $150k each.  
Increase the cost of the tweeter DM from $400k to $600k.</t>
        </r>
      </text>
    </comment>
  </commentList>
</comments>
</file>

<file path=xl/comments13.xml><?xml version="1.0" encoding="utf-8"?>
<comments xmlns="http://schemas.openxmlformats.org/spreadsheetml/2006/main">
  <authors>
    <author>peterw</author>
  </authors>
  <commentList>
    <comment ref="A4" authorId="0">
      <text>
        <r>
          <rPr>
            <b/>
            <sz val="8"/>
            <rFont val="Tahoma"/>
            <family val="0"/>
          </rPr>
          <t>peterw:</t>
        </r>
        <r>
          <rPr>
            <sz val="8"/>
            <rFont val="Tahoma"/>
            <family val="0"/>
          </rPr>
          <t xml:space="preserve">
2 month slip vs SDR</t>
        </r>
      </text>
    </comment>
    <comment ref="A10" authorId="0">
      <text>
        <r>
          <rPr>
            <b/>
            <sz val="8"/>
            <rFont val="Tahoma"/>
            <family val="0"/>
          </rPr>
          <t>peterw:</t>
        </r>
        <r>
          <rPr>
            <sz val="8"/>
            <rFont val="Tahoma"/>
            <family val="0"/>
          </rPr>
          <t xml:space="preserve">
Mostly shifted 1 yr later, except for $200k in FY09</t>
        </r>
      </text>
    </comment>
    <comment ref="A11" authorId="0">
      <text>
        <r>
          <rPr>
            <b/>
            <sz val="8"/>
            <rFont val="Tahoma"/>
            <family val="0"/>
          </rPr>
          <t>peterw:</t>
        </r>
        <r>
          <rPr>
            <sz val="8"/>
            <rFont val="Tahoma"/>
            <family val="0"/>
          </rPr>
          <t xml:space="preserve">
Used $189.7k for 1st yr &amp; $206.2k for 2nd yr from ATI proposal.
$4M total ROM from Peter until I get something better from Sean.
12/9/08 - increased from $4.3M to $5M per suggestion from Sean</t>
        </r>
      </text>
    </comment>
    <comment ref="A12" authorId="0">
      <text>
        <r>
          <rPr>
            <b/>
            <sz val="8"/>
            <rFont val="Tahoma"/>
            <family val="0"/>
          </rPr>
          <t>peterw:</t>
        </r>
        <r>
          <rPr>
            <sz val="8"/>
            <rFont val="Tahoma"/>
            <family val="0"/>
          </rPr>
          <t xml:space="preserve">
Put 20% of total in as a place holder</t>
        </r>
      </text>
    </comment>
    <comment ref="A23" authorId="0">
      <text>
        <r>
          <rPr>
            <b/>
            <sz val="8"/>
            <rFont val="Tahoma"/>
            <family val="0"/>
          </rPr>
          <t>peterw:</t>
        </r>
        <r>
          <rPr>
            <sz val="8"/>
            <rFont val="Tahoma"/>
            <family val="0"/>
          </rPr>
          <t xml:space="preserve">
2 month slip vs SDR</t>
        </r>
      </text>
    </comment>
    <comment ref="A31" authorId="0">
      <text>
        <r>
          <rPr>
            <b/>
            <sz val="8"/>
            <rFont val="Tahoma"/>
            <family val="0"/>
          </rPr>
          <t>peterw:</t>
        </r>
        <r>
          <rPr>
            <sz val="8"/>
            <rFont val="Tahoma"/>
            <family val="0"/>
          </rPr>
          <t xml:space="preserve">
2 month slip vs SDR</t>
        </r>
      </text>
    </comment>
    <comment ref="A40" authorId="0">
      <text>
        <r>
          <rPr>
            <b/>
            <sz val="8"/>
            <rFont val="Tahoma"/>
            <family val="0"/>
          </rPr>
          <t>peterw:</t>
        </r>
        <r>
          <rPr>
            <sz val="8"/>
            <rFont val="Tahoma"/>
            <family val="0"/>
          </rPr>
          <t xml:space="preserve">
2 month slip vs SDR</t>
        </r>
      </text>
    </comment>
    <comment ref="H6" authorId="0">
      <text>
        <r>
          <rPr>
            <b/>
            <sz val="8"/>
            <rFont val="Tahoma"/>
            <family val="0"/>
          </rPr>
          <t>peterw:</t>
        </r>
        <r>
          <rPr>
            <sz val="8"/>
            <rFont val="Tahoma"/>
            <family val="0"/>
          </rPr>
          <t xml:space="preserve">
Early procurement/install of launch telescope in FY10 &amp; 11.</t>
        </r>
      </text>
    </comment>
  </commentList>
</comments>
</file>

<file path=xl/comments5.xml><?xml version="1.0" encoding="utf-8"?>
<comments xmlns="http://schemas.openxmlformats.org/spreadsheetml/2006/main">
  <authors>
    <author>peterw</author>
  </authors>
  <commentList>
    <comment ref="A14" authorId="0">
      <text>
        <r>
          <rPr>
            <b/>
            <sz val="8"/>
            <rFont val="Tahoma"/>
            <family val="0"/>
          </rPr>
          <t>peterw:</t>
        </r>
        <r>
          <rPr>
            <sz val="8"/>
            <rFont val="Tahoma"/>
            <family val="0"/>
          </rPr>
          <t xml:space="preserve">
Put 20% of total in as a place holder</t>
        </r>
      </text>
    </comment>
    <comment ref="A12" authorId="0">
      <text>
        <r>
          <rPr>
            <b/>
            <sz val="8"/>
            <rFont val="Tahoma"/>
            <family val="0"/>
          </rPr>
          <t>peterw:</t>
        </r>
        <r>
          <rPr>
            <sz val="8"/>
            <rFont val="Tahoma"/>
            <family val="0"/>
          </rPr>
          <t xml:space="preserve">
Used $189.7k for 1st yr &amp; $206.2k for 2nd yr from ATI proposal.
$4M total ROM from Peter until I get something better from Sean.
12/9/08 - increased from $4.3M to $5M per suggestion from Sean</t>
        </r>
      </text>
    </comment>
    <comment ref="A4" authorId="0">
      <text>
        <r>
          <rPr>
            <b/>
            <sz val="8"/>
            <rFont val="Tahoma"/>
            <family val="0"/>
          </rPr>
          <t>peterw:</t>
        </r>
        <r>
          <rPr>
            <sz val="8"/>
            <rFont val="Tahoma"/>
            <family val="0"/>
          </rPr>
          <t xml:space="preserve">
2 month slip vs SDR</t>
        </r>
      </text>
    </comment>
    <comment ref="A13" authorId="0">
      <text>
        <r>
          <rPr>
            <b/>
            <sz val="8"/>
            <rFont val="Tahoma"/>
            <family val="0"/>
          </rPr>
          <t>peterw:</t>
        </r>
        <r>
          <rPr>
            <sz val="8"/>
            <rFont val="Tahoma"/>
            <family val="0"/>
          </rPr>
          <t xml:space="preserve">
Slipped by 2 yr vs SA plan.</t>
        </r>
      </text>
    </comment>
    <comment ref="A11" authorId="0">
      <text>
        <r>
          <rPr>
            <b/>
            <sz val="8"/>
            <rFont val="Tahoma"/>
            <family val="0"/>
          </rPr>
          <t>peterw:</t>
        </r>
        <r>
          <rPr>
            <sz val="8"/>
            <rFont val="Tahoma"/>
            <family val="0"/>
          </rPr>
          <t xml:space="preserve">
Mostly shifted 1 yr later, except for $200k in FY09</t>
        </r>
      </text>
    </comment>
    <comment ref="A9" authorId="0">
      <text>
        <r>
          <rPr>
            <b/>
            <sz val="8"/>
            <rFont val="Tahoma"/>
            <family val="0"/>
          </rPr>
          <t>peterw:</t>
        </r>
        <r>
          <rPr>
            <sz val="8"/>
            <rFont val="Tahoma"/>
            <family val="0"/>
          </rPr>
          <t xml:space="preserve">
Increased NGAO contingency from 22 to 25%</t>
        </r>
      </text>
    </comment>
    <comment ref="A25" authorId="0">
      <text>
        <r>
          <rPr>
            <b/>
            <sz val="8"/>
            <rFont val="Tahoma"/>
            <family val="0"/>
          </rPr>
          <t>peterw:</t>
        </r>
        <r>
          <rPr>
            <sz val="8"/>
            <rFont val="Tahoma"/>
            <family val="0"/>
          </rPr>
          <t xml:space="preserve">
2 month slip vs SDR</t>
        </r>
      </text>
    </comment>
    <comment ref="A34" authorId="0">
      <text>
        <r>
          <rPr>
            <b/>
            <sz val="8"/>
            <rFont val="Tahoma"/>
            <family val="0"/>
          </rPr>
          <t>peterw:</t>
        </r>
        <r>
          <rPr>
            <sz val="8"/>
            <rFont val="Tahoma"/>
            <family val="0"/>
          </rPr>
          <t xml:space="preserve">
2 month slip vs SDR</t>
        </r>
      </text>
    </comment>
  </commentList>
</comments>
</file>

<file path=xl/sharedStrings.xml><?xml version="1.0" encoding="utf-8"?>
<sst xmlns="http://schemas.openxmlformats.org/spreadsheetml/2006/main" count="2148" uniqueCount="1059">
  <si>
    <t>Near- IR imager, Near-IR IFU</t>
  </si>
  <si>
    <r>
      <t>Spatial sampling:</t>
    </r>
    <r>
      <rPr>
        <sz val="12"/>
        <rFont val="Times New Roman"/>
        <family val="1"/>
      </rPr>
      <t xml:space="preserve"> ≤ Nyquist at the observing wavelengths</t>
    </r>
  </si>
  <si>
    <t>Spatial sampling ≤ Nyquist at the observing wavelength</t>
  </si>
  <si>
    <r>
      <t>Imager field of view:</t>
    </r>
    <r>
      <rPr>
        <sz val="12"/>
        <rFont val="Times New Roman"/>
        <family val="1"/>
      </rPr>
      <t xml:space="preserve"> ≥ 15” diameter [SCRD §3.8.6.2]</t>
    </r>
  </si>
  <si>
    <t>AO system passes a &gt;15” unvignetted field of view</t>
  </si>
  <si>
    <t>Implement a single NIR IFU (tbd whether this is deployable) instead of the deployable multi-IFU</t>
  </si>
  <si>
    <t>Do not implement OSIRIS with NGAO.</t>
  </si>
  <si>
    <t>If we could pull in the schedule by 1 year during the detailed design we could save 3.5% of $54M or $2M.</t>
  </si>
  <si>
    <t>Should pursue collaboration with TMT and COO on the tip/tilt sensors, but should not count on this cost savings yet</t>
  </si>
  <si>
    <t>Look for opportunities to make procurements with other groups to save money.</t>
  </si>
  <si>
    <r>
      <t xml:space="preserve">Use single level cascaded relay design, </t>
    </r>
    <r>
      <rPr>
        <strike/>
        <sz val="10"/>
        <rFont val="Arial"/>
        <family val="2"/>
      </rPr>
      <t>including existing 349 actuator DM</t>
    </r>
  </si>
  <si>
    <t>This approach had been favored for an MCAO upgrade option.  
Single level allows the use of our spare Xinetics DM, but hysteresis is 30% at -15C.
Single level removes the 2nd tier cost.</t>
  </si>
  <si>
    <t>Reduce total laser power from 100W to 75W.</t>
  </si>
  <si>
    <t>Above assumes IFU is fixed.  No $ included for deployable.</t>
  </si>
  <si>
    <t>Only implement 2 instead of 3 LGS WFS lenslet arrays (different subaperture sizes)</t>
  </si>
  <si>
    <t>Assume $25k savings (no solid basis).
Inflate to FY12.</t>
  </si>
  <si>
    <t>Additional Actions:</t>
  </si>
  <si>
    <t>AO Enclosure Integration</t>
  </si>
  <si>
    <t>Observing wavelengths 0.7 – 1.0 µm.  Strong preference for R band because optimum to obtain shape of asteroid. [SCRD §3.6.6.6]</t>
  </si>
  <si>
    <t>AO system must pass 0.7 to 1.0 micron wavelengths</t>
  </si>
  <si>
    <t>Imagers (R through J band) with narrow-band filters or slit spectrograph (R~100), or possibly visible IFU (R~100).</t>
  </si>
  <si>
    <t>Field of view ≥ 3” diameter [SCRD §3.6.6.2]</t>
  </si>
  <si>
    <t>Same as #6.8</t>
  </si>
  <si>
    <t xml:space="preserve">• Started with SDR cost estimate summary spreadsheet </t>
  </si>
  <si>
    <t xml:space="preserve">   – Summary includes labor, travel, non-labor &amp; contingency for 85 WBS elements in each of 4 phases (PD, DD, FSD, DC)</t>
  </si>
  <si>
    <t xml:space="preserve">• Referenced initial cost sheet to understand cost impact of each design change </t>
  </si>
  <si>
    <t>Cost estimation mechanics:</t>
  </si>
  <si>
    <t xml:space="preserve">• Each cost change is highlighted (red) in cost estimate summary, a comment has been added &amp; a corresponding equation put in the cell </t>
  </si>
  <si>
    <t xml:space="preserve">   – Contingency is automatically updated using the original rate</t>
  </si>
  <si>
    <t xml:space="preserve">• Used actual hardware costs from initial cost sheets wherever possible </t>
  </si>
  <si>
    <t xml:space="preserve">   – If available used labor associated with a specific task in a cost sheet</t>
  </si>
  <si>
    <t xml:space="preserve">• Performed check with cost sheet estimator in some cases </t>
  </si>
  <si>
    <t xml:space="preserve">• Tried to be conservative with labor reductions </t>
  </si>
  <si>
    <t xml:space="preserve">   – Especially conservative in PD phase since PD phase still evolving</t>
  </si>
  <si>
    <t>Will need to get sky background measurement as efficiently as possible.  For IR, consider using a separate d-IFU on the sky.</t>
  </si>
  <si>
    <t>PSF stability and knowledge requirements will be discussed in future releases of the SCRD</t>
  </si>
  <si>
    <t>Spectral resolution R ~ 3000-4000 with at least two pixels per resolution element; detector limited SNR performance. Spatial sampling at least two resolution elements across the gravitational sphere of influence</t>
  </si>
  <si>
    <t>Required observation planning tools: PSF simulation tools to plan for observations of Seyfert 1 galaxies which have strong central point sources</t>
  </si>
  <si>
    <t>Required data reduction pipeline for IFU</t>
  </si>
  <si>
    <t>Number of targets required: to be specified in future versions of the SCRD [SCRD §2.2.3]</t>
  </si>
  <si>
    <t>Required wavelength range 0.85 – 2.4 microns [SCRD §2.2.3]</t>
  </si>
  <si>
    <t>Required spatial sampling at least two resolution elements across gravitational sphere of influence. [SCRD §2.2.2]</t>
  </si>
  <si>
    <t>Required field of view for both spectroscopy and imaging &gt; 10 radii of the gravitational sphere of influence. [e.g., SCRD §2.2.4 Figure 3]</t>
  </si>
  <si>
    <t>Required SNR for spatially resolved spectroscopy of the central black hole region using stellar velocities &gt; 30 per resolution element [SCRD §2.2.3]</t>
  </si>
  <si>
    <t>3a.1</t>
  </si>
  <si>
    <t>3a.2</t>
  </si>
  <si>
    <t>Transmit H and K band to science instrument</t>
  </si>
  <si>
    <t>3a.3</t>
  </si>
  <si>
    <t>Science path shall allow an unvignetted 10” x 10” field.</t>
  </si>
  <si>
    <t>3a.4</t>
  </si>
  <si>
    <t>3a.5</t>
  </si>
  <si>
    <t>The following observing preparation tools are required: PSF simulation as function of wavelength and seeing conditions, exposure time calculator.</t>
  </si>
  <si>
    <t>3a.6</t>
  </si>
  <si>
    <r>
      <t>Astrometric</t>
    </r>
    <r>
      <rPr>
        <sz val="12"/>
        <rFont val="Times New Roman"/>
        <family val="1"/>
      </rPr>
      <t xml:space="preserve"> accuracy ≤ 100 µas for objects ≤ 5” from the Galactic Center [SCRD §2.3.8.1]</t>
    </r>
  </si>
  <si>
    <t>Nyquist sampling at H and K. 
Instrument distortion characterized and stable to ≤ 100 µas.</t>
  </si>
  <si>
    <t>Costs in FY09 dollars</t>
  </si>
  <si>
    <t>WBS Element</t>
  </si>
  <si>
    <t>IFS System Design</t>
  </si>
  <si>
    <t>IFS Preliminary Design</t>
  </si>
  <si>
    <t>Imager Preliminary Design</t>
  </si>
  <si>
    <t>Material</t>
  </si>
  <si>
    <t>Total with Contingency</t>
  </si>
  <si>
    <t>Milestones</t>
  </si>
  <si>
    <t>IFS SDR</t>
  </si>
  <si>
    <t>IFS PDR</t>
  </si>
  <si>
    <t>Imager PDR</t>
  </si>
  <si>
    <t>Imager/IFS DDR</t>
  </si>
  <si>
    <t>Imager/IFS PSR</t>
  </si>
  <si>
    <t>Imager/IFS Integration with AO in Lab</t>
  </si>
  <si>
    <t>Procurement dollars in FY10 plan</t>
  </si>
  <si>
    <t>IFS</t>
  </si>
  <si>
    <t>Imager</t>
  </si>
  <si>
    <t>Hours by discipline</t>
  </si>
  <si>
    <t>In FY10 plan</t>
  </si>
  <si>
    <t>Q2</t>
  </si>
  <si>
    <t>Q3</t>
  </si>
  <si>
    <t>Q4</t>
  </si>
  <si>
    <t>Q1</t>
  </si>
  <si>
    <t>SMA</t>
  </si>
  <si>
    <t>Instrument Scientist</t>
  </si>
  <si>
    <t>Science Advisor</t>
  </si>
  <si>
    <t>Science Team</t>
  </si>
  <si>
    <t>Mechanical Engineer</t>
  </si>
  <si>
    <t>Electronics Engineer</t>
  </si>
  <si>
    <t>Optical Engineer</t>
  </si>
  <si>
    <t>Software Engineer</t>
  </si>
  <si>
    <t>Lead Mechanical Engineer</t>
  </si>
  <si>
    <t>Mechanical Engineer 1</t>
  </si>
  <si>
    <t>Mechanical Engineer 2</t>
  </si>
  <si>
    <t>Technician</t>
  </si>
  <si>
    <t>WMKO Support Astronomer</t>
  </si>
  <si>
    <t>WMKO Software Staff</t>
  </si>
  <si>
    <t>WMKO Instrument Staff</t>
  </si>
  <si>
    <t>WMKO Electronics Staff</t>
  </si>
  <si>
    <t>Dollars by discipline</t>
  </si>
  <si>
    <t>FY09 rate</t>
  </si>
  <si>
    <t>Worksheet Name</t>
  </si>
  <si>
    <t>SDR Cost Estimate (FY08)</t>
  </si>
  <si>
    <t>NIR Imager ROM</t>
  </si>
  <si>
    <t>Vis Imager ROM</t>
  </si>
  <si>
    <t>Cost Est (then-yr)</t>
  </si>
  <si>
    <t>SCRD Requirements</t>
  </si>
  <si>
    <t>Proposed Savings</t>
  </si>
  <si>
    <t>B2C Review Tables</t>
  </si>
  <si>
    <t>K2 Launch Telescope</t>
  </si>
  <si>
    <t>B2C Cost Estimate (FY08)</t>
  </si>
  <si>
    <t>SDR - B2C Cost Est (FY08)</t>
  </si>
  <si>
    <t>B2C Instrument Est</t>
  </si>
  <si>
    <t>B2C Summary Est (then-yr)</t>
  </si>
  <si>
    <t>The final B2C cost estimate</t>
  </si>
  <si>
    <t>NGAO cost estimate presented at SDR</t>
  </si>
  <si>
    <t>B2C NGAO cost estimate</t>
  </si>
  <si>
    <t>New NGAO science instrument estimate</t>
  </si>
  <si>
    <t>NSF MRI proposal budget for K2 launch telescope</t>
  </si>
  <si>
    <t>Type of $</t>
  </si>
  <si>
    <t>then-yr</t>
  </si>
  <si>
    <t>Number of IFUs: at least one, plus preferably one to monitor the PSF and one to monitor the sky.  The extra two IFUs could be dispensed with if there were other ways to monitor the PSF and the sky background.</t>
  </si>
  <si>
    <t>8b.3</t>
  </si>
  <si>
    <t>Observing wavelengths =  J, H and K (to 2.4 µm) required, with emphasis on J band.   Goal: also use z and I bands.  [SCRD §3.2.6.5]</t>
  </si>
  <si>
    <t>8b.4</t>
  </si>
  <si>
    <t>Spectral resolution: whatever is needed to get 20 km/sec radial velocity Gaussian sigma</t>
  </si>
  <si>
    <t>8b.5</t>
  </si>
  <si>
    <t>Spatial resolution 50 mas at J band</t>
  </si>
  <si>
    <t>8b.6</t>
  </si>
  <si>
    <t>Velocity determined to ≤ 20 km/sec Gaussian sigma for spatial resolutions of 50  mas</t>
  </si>
  <si>
    <t>Required level of PSF knowledge will be assessed in future releases of the SCRD.</t>
  </si>
  <si>
    <t>8b.7</t>
  </si>
  <si>
    <r>
      <t xml:space="preserve">Field of view: Typical lens is 2 to 6 arc sec diameter. </t>
    </r>
    <r>
      <rPr>
        <sz val="12"/>
        <color indexed="8"/>
        <rFont val="Times New Roman"/>
        <family val="1"/>
      </rPr>
      <t>For IFU fields of view smaller than the lens size, one would use mosaicing.  Desirable to</t>
    </r>
    <r>
      <rPr>
        <sz val="12"/>
        <rFont val="Times New Roman"/>
        <family val="1"/>
      </rPr>
      <t xml:space="preserve"> take in blank sky in addition to the lens (if possible).  Requirement:  FOV </t>
    </r>
    <r>
      <rPr>
        <sz val="12"/>
        <rFont val="Symbol"/>
        <family val="1"/>
      </rPr>
      <t>³</t>
    </r>
    <r>
      <rPr>
        <sz val="12"/>
        <rFont val="Times New Roman"/>
        <family val="1"/>
      </rPr>
      <t xml:space="preserve"> 3” diameter.  Goal: </t>
    </r>
    <r>
      <rPr>
        <sz val="12"/>
        <rFont val="Symbol"/>
        <family val="1"/>
      </rPr>
      <t>³</t>
    </r>
    <r>
      <rPr>
        <sz val="12"/>
        <rFont val="Times New Roman"/>
        <family val="1"/>
      </rPr>
      <t xml:space="preserve"> 4” diameter. [SCRD §3.2.6.2]</t>
    </r>
  </si>
  <si>
    <r>
      <t xml:space="preserve">Requirement:  IFU FOV </t>
    </r>
    <r>
      <rPr>
        <sz val="12"/>
        <rFont val="Symbol"/>
        <family val="1"/>
      </rPr>
      <t>³</t>
    </r>
    <r>
      <rPr>
        <sz val="12"/>
        <rFont val="Times New Roman"/>
        <family val="1"/>
      </rPr>
      <t xml:space="preserve"> 3” diameter.  Goal: </t>
    </r>
    <r>
      <rPr>
        <sz val="12"/>
        <rFont val="Symbol"/>
        <family val="1"/>
      </rPr>
      <t>³</t>
    </r>
    <r>
      <rPr>
        <sz val="12"/>
        <rFont val="Times New Roman"/>
        <family val="1"/>
      </rPr>
      <t xml:space="preserve"> 4” diameter.</t>
    </r>
  </si>
  <si>
    <t>8b.8</t>
  </si>
  <si>
    <t>Simultaneous sky background measurements</t>
  </si>
  <si>
    <t>Preferably sky determination within the field of view of the IFU.  Less preferably, through use of offsetting to sky or via a separate IFU looking at sky.</t>
  </si>
  <si>
    <t>8b.9</t>
  </si>
  <si>
    <t>8b.10</t>
  </si>
  <si>
    <t>8b.11</t>
  </si>
  <si>
    <t>Sky coverage at least 30% with enclosed energy radius within 50 mas at J band.  [SCRD §3.2.4.9]</t>
  </si>
  <si>
    <t>8b.12</t>
  </si>
  <si>
    <t>Dithering and offset considerations: 1) Initially should be able to center a galaxy to ≤ 10% of science field of view.  2) Should know the relative position of the galaxy after a dither to ≤ 20% of spaxel size.</t>
  </si>
  <si>
    <t>8b.13</t>
  </si>
  <si>
    <t>8b.14</t>
  </si>
  <si>
    <t>8b.15</t>
  </si>
  <si>
    <t>8b</t>
  </si>
  <si>
    <t>Asteroid size, share &amp; composition</t>
  </si>
  <si>
    <t>Target sample size of ≥ 300 asteroids in ≤ 3yrs years. &lt; 10 targets in an 11 hour night [SCRD §3.6.3]</t>
  </si>
  <si>
    <t>#6.5 is stricter requirement.</t>
  </si>
  <si>
    <t>Sufficiently high throughput and low emissivity to permit detecting H=25 in 20 minutes at 5 sigma above background.</t>
  </si>
  <si>
    <t>Diagnostics on AO data to measure Strehl fluctuations if it takes a while to move on and off the coronagraph (a possible more attractive solution is a specialized coronagraph that simultaneously images the primary)</t>
  </si>
  <si>
    <t>Induced ghost images of primary; or rapid interleaving of saturated and unsaturated images; or a partially transparent coronagraph</t>
  </si>
  <si>
    <t>Transmit JHK to science instrument.  Goal: Y and z.</t>
  </si>
  <si>
    <t>JHK filters.  Methane band filters for rapid discrimination, Y and z, and/or a custom filter for early characterization.</t>
  </si>
  <si>
    <t>Able to register and subtract PSFs (with wavelength, time, etc.) for post-processing to get rid of residual speckles.  Subtraction needs to be sufficient enough to meet req. #4.4.</t>
  </si>
  <si>
    <t>PSF knowledge and/ or stability to meet req. #4.4.</t>
  </si>
  <si>
    <t>At least 1.5 x better than Nyquist sampled at J (goal Y)</t>
  </si>
  <si>
    <t>Field of view 3" radius (goal 5" radius)</t>
  </si>
  <si>
    <t xml:space="preserve">Evaluate combining (or separating) science instrument capabilities for lower cost (SA).  For example, combining NIR imager &amp; IFU. </t>
  </si>
  <si>
    <t>Confidence level in NIR IFU cost estimate is low.  Develop better cost estimate (SA).</t>
  </si>
  <si>
    <t>Need clarifications on science priorities from KSP &amp; relative priorities (CM).</t>
  </si>
  <si>
    <t>Evaluate feasible of extending NIR instruments, especially imager, to I-band (SA).</t>
  </si>
  <si>
    <t>Consider proceeding with early launch telescope implementation even if not funded by MRI (PW).</t>
  </si>
  <si>
    <t>Should be able to initially center a galaxy to ≤ 10% of science field of view</t>
  </si>
  <si>
    <t>Should know the relative position of the galaxy to ≤ 20% of spaxel or pixel size</t>
  </si>
  <si>
    <t>The following observing preparation tools are required: NGS guide star finding tool; PSF simulation and exposure time calculator</t>
  </si>
  <si>
    <r>
      <t xml:space="preserve">Assuming </t>
    </r>
    <r>
      <rPr>
        <i/>
        <sz val="12"/>
        <rFont val="Times New Roman"/>
        <family val="1"/>
      </rPr>
      <t>b=30º,
For 5% sky coverage: 
R=14 mag guide star with 60” diameter field of regard (FOR) 
R=15 mag guide star with 45” diameter FOR 
[Keck Observatory Report No. 208, p. 4-100]</t>
    </r>
  </si>
  <si>
    <t>48 or 56 TBD</t>
  </si>
  <si>
    <t>Extragalactic community was not supportive of multi-IFUs at the Keck 2008 Strategic Planning Meeting.
SDR reviewers asked us to revisit the cost vs benefit.
This allows us to make a large step toward the build-to-cost guidelines.
We should evaluate any work that would prevent implementation of more IFU units in the future.</t>
  </si>
  <si>
    <t>Do not implement visible imager</t>
  </si>
  <si>
    <t>Design correction: No PSF monitor DM &amp; no TT mechanism on TWFS</t>
  </si>
  <si>
    <t>Above does not include separate 32x32 MEMS for NIR IFU.  Instead assumes IFU after 64x64 MEMS.
Better AO performance &amp; no thruput/emissivity impact since would have needed relay optics &amp; 32x32 MEMS.</t>
  </si>
  <si>
    <t>Would like to be at least $2M below the $60M cap to allow for likely estimate growth during PD &amp; DD, &amp;/or higher contingency (closer to 30% on NGAO as goal).</t>
  </si>
  <si>
    <t>Consider an asymmetric fixed LGS asterism with a rotator, instead of PNS.  (RD)</t>
  </si>
  <si>
    <t>Discussed a further reduction to 50W laser total. This allows a clear future upgrade path with cost savings. Decided against for now since increases performance risk for 1st science.</t>
  </si>
  <si>
    <t>Higher MEMS costs</t>
  </si>
  <si>
    <t>2.  Inflation at 3.5% per year applied to labor.</t>
  </si>
  <si>
    <t>Do not implement an ADC for the NGS WFS</t>
  </si>
  <si>
    <t>NGS WFS not used for primary science.</t>
  </si>
  <si>
    <t>Assume $50k savings (no solid basis).
Inflate to FY12.</t>
  </si>
  <si>
    <t>Reduced switchyard opto-mechanics</t>
  </si>
  <si>
    <t>No wide field science support; no on-sky narrow field optimization
~ nm rms</t>
  </si>
  <si>
    <t>Number of devices</t>
  </si>
  <si>
    <t>RTC</t>
  </si>
  <si>
    <t>No. of subapertures</t>
  </si>
  <si>
    <t>Optimized for above</t>
  </si>
  <si>
    <t>2 less WFS &amp; UTT; reduced subapertures &amp; configurations</t>
  </si>
  <si>
    <t>100 W (~11W / LGS)</t>
  </si>
  <si>
    <t>75 W (50W center)</t>
  </si>
  <si>
    <t>no</t>
  </si>
  <si>
    <t>yes</t>
  </si>
  <si>
    <t>NIR IFS</t>
  </si>
  <si>
    <t>6 channel multi d-IFS</t>
  </si>
  <si>
    <t>1 channel fixed IFS</t>
  </si>
  <si>
    <t>Extends to 800 nm</t>
  </si>
  <si>
    <t>Visible IFS</t>
  </si>
  <si>
    <t>OSIRIS</t>
  </si>
  <si>
    <t>Interferometer</t>
  </si>
  <si>
    <t>baseline</t>
  </si>
  <si>
    <t>KSP08; SDR</t>
  </si>
  <si>
    <t>To provide vis capability</t>
  </si>
  <si>
    <t>Impact</t>
  </si>
  <si>
    <t>Limited visible science capability; no multiplexing capability</t>
  </si>
  <si>
    <t>Provided by NIR IFS</t>
  </si>
  <si>
    <t>Cost; future upgrade?</t>
  </si>
  <si>
    <t>Science Case</t>
  </si>
  <si>
    <t>NIR Cam</t>
  </si>
  <si>
    <t>Vis Cam</t>
  </si>
  <si>
    <t>Vis IFS</t>
  </si>
  <si>
    <t>Galaxy assembly &amp; star formation</t>
  </si>
  <si>
    <t>GR effects in the Galactic Center</t>
  </si>
  <si>
    <t>Extrasolar planets</t>
  </si>
  <si>
    <t>Minor planets multiplicity</t>
  </si>
  <si>
    <t>MOSFIRE QE (from KAON 556)</t>
  </si>
  <si>
    <t>Wavelength</t>
  </si>
  <si>
    <t>MOSFIRE</t>
  </si>
  <si>
    <t>H-4RG goal</t>
  </si>
  <si>
    <t>e2V meas</t>
  </si>
  <si>
    <t>Cooling</t>
  </si>
  <si>
    <t>AO enclosure</t>
  </si>
  <si>
    <t>Science path optics</t>
  </si>
  <si>
    <t>Only science needs cold</t>
  </si>
  <si>
    <t>Truth WFS</t>
  </si>
  <si>
    <t>NIR after 1st relay
Vis after 2nd relay</t>
  </si>
  <si>
    <t>Vis after 1st relay</t>
  </si>
  <si>
    <t>Optical design</t>
  </si>
  <si>
    <t>2-tier</t>
  </si>
  <si>
    <t>1-tier</t>
  </si>
  <si>
    <t>2nd relay location</t>
  </si>
  <si>
    <t>reflection off dichroic</t>
  </si>
  <si>
    <t>transmitted, no dichroic</t>
  </si>
  <si>
    <t>NGS WFS</t>
  </si>
  <si>
    <t>ADC; 3 lenslets</t>
  </si>
  <si>
    <t>no ADC; 2 lenslets</t>
  </si>
  <si>
    <t>Few NGS in narrow field
Similar performance</t>
  </si>
  <si>
    <t>Removes 2nd tier cost</t>
  </si>
  <si>
    <t>no d-IFS; lower cost</t>
  </si>
  <si>
    <t>Sky Coverage</t>
  </si>
  <si>
    <t>Science Instruments</t>
  </si>
  <si>
    <t>Auxiliary Wavefront Sensing</t>
  </si>
  <si>
    <t>LGS Wavefront Sensing &amp; Correction</t>
  </si>
  <si>
    <t>Other</t>
  </si>
  <si>
    <t>ID #s</t>
  </si>
  <si>
    <t>related to above</t>
  </si>
  <si>
    <t>Opto-mechanical Emissivity &amp; Throughput</t>
  </si>
  <si>
    <t>Only a minor performance degradation.
Reduces the number of beam transport optics, the number of LGS WFS, the number of motion control degrees of freedom &amp; the RTC complexity.</t>
  </si>
  <si>
    <t>$M</t>
  </si>
  <si>
    <t>Explanation</t>
  </si>
  <si>
    <t>Only refrigerate the NGAO science path optics.  Don't refrigerate the LGS WFS assembly.</t>
  </si>
  <si>
    <t>Dramatically reduces the volume to be cooled vs cooling much of the Nasmyth platform.
Where possible, benefit from the NFIRAOS design that follows this approach.
Implement the design so that at least the LGS WFS assembly is outside the refrigerated area; implies lower cost components &amp; easier maintenance.
Instruments should mate to ports to seal the refrigerated area.
Could potentially reuse much of existing AO enclosure for larger room.</t>
  </si>
  <si>
    <t>Result: Simpler RTC, especially a reduction in the tomography volume (number of processors directly proportional to volume). Could also allow us to put some of PNS laser power back into central asterism.</t>
  </si>
  <si>
    <t>PNS lasers only used for tip-tilt stars (separate AO systems).  Fixed asterism only used for central science field.</t>
  </si>
  <si>
    <t>Beam Transport System (BTS)</t>
  </si>
  <si>
    <t>Laser Steering Interface (LSI)</t>
  </si>
  <si>
    <t>CPLS Software</t>
  </si>
  <si>
    <t>Year 1</t>
  </si>
  <si>
    <t>Year 2</t>
  </si>
  <si>
    <t>Agency:</t>
  </si>
  <si>
    <t xml:space="preserve">National Science Foundation </t>
  </si>
  <si>
    <t>Performance Period:</t>
  </si>
  <si>
    <t xml:space="preserve">Title: </t>
  </si>
  <si>
    <t xml:space="preserve">PI: </t>
  </si>
  <si>
    <t>Wizinowich, Peter</t>
  </si>
  <si>
    <t>Amount:</t>
  </si>
  <si>
    <t>Year One</t>
  </si>
  <si>
    <t>Year Two</t>
  </si>
  <si>
    <t>Person Months</t>
  </si>
  <si>
    <t>A. Senior Personnel</t>
  </si>
  <si>
    <t>Title</t>
  </si>
  <si>
    <t>P. Wizinowich</t>
  </si>
  <si>
    <t>Principal Investigator</t>
  </si>
  <si>
    <t>B. Other Personnel</t>
  </si>
  <si>
    <t>( 0 ) Graduate Students</t>
  </si>
  <si>
    <t>( 0 ) Undergraduate Students</t>
  </si>
  <si>
    <t xml:space="preserve">( 0 ) Other  </t>
  </si>
  <si>
    <t>C. Fringe Benefits</t>
  </si>
  <si>
    <t>D. Equipment</t>
  </si>
  <si>
    <t>Total Equipment</t>
  </si>
  <si>
    <t>E. Travel</t>
  </si>
  <si>
    <t>Domestic</t>
  </si>
  <si>
    <t>Foreign</t>
  </si>
  <si>
    <t>F. Participant Support Costs</t>
  </si>
  <si>
    <t>G. Other Direct Costs</t>
  </si>
  <si>
    <t>1. Materials and Supplies</t>
  </si>
  <si>
    <t>2. Publication Costs/Documentation/Dissemination</t>
  </si>
  <si>
    <t>3. Consultant Services</t>
  </si>
  <si>
    <t>4. Computer Services</t>
  </si>
  <si>
    <t>5. Subawards</t>
  </si>
  <si>
    <t>6. Other</t>
  </si>
  <si>
    <t>Total Other Direct Costs</t>
  </si>
  <si>
    <t>H. Total Direct Costs</t>
  </si>
  <si>
    <t>I. Indirect Costs (F&amp;A)</t>
  </si>
  <si>
    <t>Modified total direct costs (Base)</t>
  </si>
  <si>
    <t>Rate</t>
  </si>
  <si>
    <t>Total Indirect Costs</t>
  </si>
  <si>
    <t>J. Total Direct and Indirect Costs</t>
  </si>
  <si>
    <t>K.  Residual Funds</t>
  </si>
  <si>
    <t>L. Amount of This Request</t>
  </si>
  <si>
    <t>Cost Sharing: Proposed Level</t>
  </si>
  <si>
    <t>8/01/09-07/31/11</t>
  </si>
  <si>
    <t>8/01/09   07/31/10</t>
  </si>
  <si>
    <t>8/01/10   07/31/11</t>
  </si>
  <si>
    <t>J. Chin</t>
  </si>
  <si>
    <t>Project Manager</t>
  </si>
  <si>
    <t>T. Stalcup</t>
  </si>
  <si>
    <t>Systems Engineer</t>
  </si>
  <si>
    <t>( 0 ) Post Doctoral Associates</t>
  </si>
  <si>
    <t>Development of the Keck II Laser Guide Star Adaptive Optics Facility for Improved Scientific Productivity</t>
  </si>
  <si>
    <t>Laser Spotters</t>
  </si>
  <si>
    <t>1.  Salaries are based on WMKO fiscal year 2009 rates with 3.5% inflation added in each year.</t>
  </si>
  <si>
    <t>Launch telescope procurement</t>
  </si>
  <si>
    <t>( 3 ) Total Senior Personnel</t>
  </si>
  <si>
    <t>( 1 ) Secretarial - Clerical (If Charged Directly)</t>
  </si>
  <si>
    <t>3.  Based on a firm fixed price quote.</t>
  </si>
  <si>
    <t>PMAC motion control board</t>
  </si>
  <si>
    <t>Launch telescope defining points</t>
  </si>
  <si>
    <t>( 8 ) Other Professionals</t>
  </si>
  <si>
    <t>Year 3</t>
  </si>
  <si>
    <t>Year Three</t>
  </si>
  <si>
    <t>8/01/11
9/30/11</t>
  </si>
  <si>
    <t>2.  Fringe benefits are based on WMKO fiscal year 2009 rate of 28%.</t>
  </si>
  <si>
    <t>5.  2 trips to launch telescope vendor in Italy - 7 days each for two people.</t>
  </si>
  <si>
    <t>4.  2 trips - 1 day each for one person.</t>
  </si>
  <si>
    <t xml:space="preserve">6.  MTDC base calculated from total direct costs less equipment over $5k. </t>
  </si>
  <si>
    <t>7.  30% cost sharing.</t>
  </si>
  <si>
    <t>Procurement costs specific to Keck II AO implementation</t>
  </si>
  <si>
    <t>OM: Laser Parts Procure &amp; Fab</t>
  </si>
  <si>
    <t>Labor hours specific to Keck II AO implementation</t>
  </si>
  <si>
    <t>% of total</t>
  </si>
  <si>
    <t>Project Management</t>
  </si>
  <si>
    <t>Total Hours</t>
  </si>
  <si>
    <t>KII AO Hours</t>
  </si>
  <si>
    <t>K2 Laser Mods on Laser Bench</t>
  </si>
  <si>
    <t>Tel I&amp;T: BTS Testing</t>
  </si>
  <si>
    <t>Tel I&amp;T: Laser Bench Align &amp; Test</t>
  </si>
  <si>
    <t>Tel I&amp;T: AO System Mods</t>
  </si>
  <si>
    <t>Commissioning/Handover</t>
  </si>
  <si>
    <t>Overall Project Hours</t>
  </si>
  <si>
    <t>KII Specific Hours/Project Hours</t>
  </si>
  <si>
    <t>Total Labor Costs</t>
  </si>
  <si>
    <t>Total Procurement Costs</t>
  </si>
  <si>
    <t>NGAO Share of Total</t>
  </si>
  <si>
    <t>KII LGS AO Upgrade Share of Total</t>
  </si>
  <si>
    <t>BTS Telescope Mods</t>
  </si>
  <si>
    <t>OM: BTS Parts Procure &amp; Fab (20%)</t>
  </si>
  <si>
    <t>EE: BTS Parts Procure &amp; Fab (20%)</t>
  </si>
  <si>
    <t>Spotter Costs (80%)</t>
  </si>
  <si>
    <t>Assumptions:</t>
  </si>
  <si>
    <t>NGAO pays for everything that is needed for NGAO.</t>
  </si>
  <si>
    <t xml:space="preserve">Keck AO upgrade budget pays for all additional costs needed to implement the launch telescope with K2 LGS. </t>
  </si>
  <si>
    <t>AO system (both LGS and NGS) capable of correcting on extended objects. 
• Uranus = 3.4 arcsec 
• Neptune = 2.3 arcsec</t>
  </si>
  <si>
    <t>16.10</t>
  </si>
  <si>
    <t>Backup Science - NGS</t>
  </si>
  <si>
    <r>
      <t>NGS mode.</t>
    </r>
    <r>
      <rPr>
        <sz val="12"/>
        <rFont val="Times New Roman"/>
        <family val="1"/>
      </rPr>
      <t xml:space="preserve">  NGS as a backup observing mode for when conditions restrict propagation of the lasers.</t>
    </r>
  </si>
  <si>
    <r>
      <t>Sky coverage</t>
    </r>
    <r>
      <rPr>
        <sz val="12"/>
        <rFont val="Times New Roman"/>
        <family val="1"/>
      </rPr>
      <t xml:space="preserve"> ≥5% to ensure at least one-sixth of the off-axis LGS targets will still be observable if it is necessary to go to an NGS backup mode.</t>
    </r>
  </si>
  <si>
    <t>Capability to switch between NGS and LGS modes in ≤ 15 minutes (not including target acquisition) to enable flexibility if conditions change.</t>
  </si>
  <si>
    <r>
      <t>Sensitivity</t>
    </r>
    <r>
      <rPr>
        <sz val="12"/>
        <rFont val="Times New Roman"/>
        <family val="1"/>
      </rPr>
      <t>. SNR ≥ 10 for a z = 2.6 galaxy in an integration time ≤ 3 hours for a spectral resolution R = 3500 with a spatial resolution of 50 mas</t>
    </r>
  </si>
  <si>
    <t>Observing wavelengths =  J, H and K (to 2.4 µm)</t>
  </si>
  <si>
    <t>Infrared single IFU and imager designed for J, H, and K.</t>
  </si>
  <si>
    <r>
      <t>Spectral resolution</t>
    </r>
    <r>
      <rPr>
        <sz val="12"/>
        <rFont val="Times New Roman"/>
        <family val="1"/>
      </rPr>
      <t xml:space="preserve"> = 3000 to 4000</t>
    </r>
  </si>
  <si>
    <t>Spectral resolution of &gt;3000 in IFU</t>
  </si>
  <si>
    <r>
      <t>Imaging:</t>
    </r>
    <r>
      <rPr>
        <sz val="12"/>
        <rFont val="Times New Roman"/>
        <family val="1"/>
      </rPr>
      <t xml:space="preserve"> Nyquist sampled at H-band</t>
    </r>
  </si>
  <si>
    <t>Nyquist sampled IR imager (at H-band)</t>
  </si>
  <si>
    <t>Encircled energy 50% in 70 mas for a bright NGS guide star within 10 arc sec</t>
  </si>
  <si>
    <t>Optimum spaxel size will be determined during a detailed study of the IFU instrument.</t>
  </si>
  <si>
    <t>If a new instrument: IFU field of view ≥ 1” x 3” to allow simultaneous background measurements while observing a 1” galaxy.  OSIRIS FOV would be adequate.</t>
  </si>
  <si>
    <t>Narrow relay passes 1”x3” field</t>
  </si>
  <si>
    <t>Imager FOV ≥ 10” x 10” for galactic center and gravitational lensing science</t>
  </si>
  <si>
    <t>Imager FOV ≥ 10” x 10”</t>
  </si>
  <si>
    <t>Relative photometry to ≤ 5% for observations during a single night, provided the night is photometric</t>
  </si>
  <si>
    <t>Knowledge of ensquared energy in IFU spaxel to 5%.</t>
  </si>
  <si>
    <t>Amount under $60M cap =</t>
  </si>
  <si>
    <t>Notes:</t>
  </si>
  <si>
    <t>Each one of the above proposals would work in the direction of simplifying NGAO, which also reduces risk.</t>
  </si>
  <si>
    <t>We should look at other design simplifications &amp; cost savings during the PD.</t>
  </si>
  <si>
    <t>R&gt;4000</t>
  </si>
  <si>
    <t>R=3000-4000</t>
  </si>
  <si>
    <t>R=3000-4000. Ok.</t>
  </si>
  <si>
    <t>Drives IFU sampling (20 mas at H)</t>
  </si>
  <si>
    <t>&gt;1"x1" IFU</t>
  </si>
  <si>
    <t>If this is our only companion sensitivity requirement could we consider not providiing an IFU?</t>
  </si>
  <si>
    <t>JHK</t>
  </si>
  <si>
    <r>
      <t xml:space="preserve">NIR imager, </t>
    </r>
    <r>
      <rPr>
        <i/>
        <sz val="10"/>
        <rFont val="Arial"/>
        <family val="2"/>
      </rPr>
      <t>NIR IFU</t>
    </r>
  </si>
  <si>
    <t>&gt;30% sky coverage</t>
  </si>
  <si>
    <t>IFU or narrow band filters</t>
  </si>
  <si>
    <r>
      <t>Sensitivity</t>
    </r>
    <r>
      <rPr>
        <sz val="12"/>
        <rFont val="Times New Roman"/>
        <family val="1"/>
      </rPr>
      <t xml:space="preserve"> of H=25 for 5-sigma detection in 20 minutes, at 1 arcsec separation from primary star.  (Brown dwarf targets are limited by sky background at larger angles, of order ~1 arcsec). [SCRD §2.4.5.9]</t>
    </r>
  </si>
  <si>
    <r>
      <t xml:space="preserve">H-band relative </t>
    </r>
    <r>
      <rPr>
        <i/>
        <sz val="12"/>
        <rFont val="Times New Roman"/>
        <family val="1"/>
      </rPr>
      <t xml:space="preserve">photometry </t>
    </r>
    <r>
      <rPr>
        <sz val="12"/>
        <rFont val="Times New Roman"/>
        <family val="1"/>
      </rPr>
      <t>(between primary and companion):  accuracy ≤ 0.1 mag for recovered companions (to estimate mass of the companion); goal of measuring colors to 0.05 mags (0.03 mag per band) to measure temperatures and surface gravities sufficiently accurately (to ~10%). [SCRD §2.4.5.4]</t>
    </r>
  </si>
  <si>
    <t>Ways to do this:
b) Induced ghost image method.  Needs a wire grating ahead of the coronagraph, or use DM to induce ghost images.  (papers by Marois et al. 2006, ApJ, 647, 612; Sivaramakrishnan &amp; Oppenheimer 2006, ApJ, 647, 620).
a) Position stability requirement for star behind coronagraph (e.g., stable to 0.5 or 2 mas over 10 min.).</t>
  </si>
  <si>
    <t>Stability of distortion as required for 0.5 or 2 mas.
Also want ghost images of primary (as for photometry #4.8) in order to locate it accurately relative to planet.</t>
  </si>
  <si>
    <t xml:space="preserve">Requirement: Astrometric precision 2 mas (~1/10 PSF) relative between primary and planet, for initial rejection of background objects. [SCRD §2.4.5.5]
Goal: For measuring orbits of nearby field objects, want 0.5 mas to measure masses to 10%.  Note this gives you mass of primary star.
Could be combined with Doppler measurements if that’s practical for the brighter objects.  </t>
  </si>
  <si>
    <t>4.10</t>
  </si>
  <si>
    <t>Efficiency: 20 targets per night (30 goal)
[SCRD §2.4.6.2]</t>
  </si>
  <si>
    <t>AO system must be able to absolutely steer objects so they land on the coronagraph.  This implies 5 mas reproducibility of field steering –or lock the tip/tilt to this accuracy relative to coronagraph field stop.
Final requirement will depend on the details of the coronagraph (5 mas is consistent with GPI modeling).</t>
  </si>
  <si>
    <t>Observing wavelengths JHK bands (strong goal: Y and z for companion temperature characterization) [SCRD §2.4.4, §2.4.7]</t>
  </si>
  <si>
    <t>Field of view: must see companions at 100 AU scales at 30 pc (goal 20 pc) [SCRD §2.4.5.3]</t>
  </si>
  <si>
    <t>Characterization of companion [SCRD §2.4.4]</t>
  </si>
  <si>
    <t>a) R ~150 IFU, sub-Nyquist sampling spectrograph, or if above not available,
b) Nyquist spatial sampling IFU, R ~ 4,000, OH suppressing).
c) or narrow-band filters.
All must be sensitive to J = 22 or 23 in ~3 hrs.</t>
  </si>
  <si>
    <t>Sky Coverage &gt;30%.  (Survey several hundred Brown Dwarfs to H=15 of the ~1000 known targets.) [SCRD §2.4.7]</t>
  </si>
  <si>
    <t>Asteroid Companions Survey</t>
  </si>
  <si>
    <r>
      <t xml:space="preserve">The </t>
    </r>
    <r>
      <rPr>
        <i/>
        <sz val="12"/>
        <color indexed="8"/>
        <rFont val="Times New Roman"/>
        <family val="1"/>
      </rPr>
      <t>companion sensitivity</t>
    </r>
    <r>
      <rPr>
        <sz val="12"/>
        <color indexed="8"/>
        <rFont val="Times New Roman"/>
        <family val="1"/>
      </rPr>
      <t xml:space="preserve"> shall be </t>
    </r>
    <r>
      <rPr>
        <sz val="12"/>
        <color indexed="8"/>
        <rFont val="Symbol"/>
        <family val="1"/>
      </rPr>
      <t>Ä</t>
    </r>
    <r>
      <rPr>
        <sz val="12"/>
        <color indexed="8"/>
        <rFont val="Times New Roman"/>
        <family val="1"/>
      </rPr>
      <t>J ≥ 5.5 mag at 0.5” separation for a V ≤ 17 asteroid (J≤ 15.9) (asteroid size &lt; 0.2”) with a proper motion of ≤ 50 arcsec/hour [ScRD §2.5.4.6]</t>
    </r>
  </si>
  <si>
    <t>The asteroid can be used as tip/tilt guidestar (proper motion of ≤ 50 arcsec/hour). The AO system has sufficient field of view for objects and for their seeing disks (&gt;3 arcsec, see # 5.6). The tip-tilt residual error will be less than 10 mas (limited by resolved primary) while guiding on one V=17 (J =15.9) object with relative motion of 50 arcsec/hr (14 mas/sec). The AO system has sufficient Strehl to achieve this contrast ratio and sensitivity in 15 min exposure time.  KAON 529 suggests that 170nm wavefront error will suffice.</t>
  </si>
  <si>
    <t>Near-IR imager</t>
  </si>
  <si>
    <r>
      <t xml:space="preserve">J-band relative </t>
    </r>
    <r>
      <rPr>
        <i/>
        <sz val="12"/>
        <color indexed="8"/>
        <rFont val="Times New Roman"/>
        <family val="1"/>
      </rPr>
      <t>photometric</t>
    </r>
    <r>
      <rPr>
        <sz val="12"/>
        <color indexed="8"/>
        <rFont val="Times New Roman"/>
        <family val="1"/>
      </rPr>
      <t xml:space="preserve"> accuracy (between primary and companion) of 5% at 0.6” for </t>
    </r>
    <r>
      <rPr>
        <sz val="12"/>
        <color indexed="8"/>
        <rFont val="Symbol"/>
        <family val="1"/>
      </rPr>
      <t>Ä</t>
    </r>
    <r>
      <rPr>
        <sz val="12"/>
        <color indexed="8"/>
        <rFont val="Times New Roman"/>
        <family val="1"/>
      </rPr>
      <t>J = 3 for a V ≤ 17 (J≤ 15.9) asteroid (asteroid size &lt; 0.2”) with a proper motion of ≤ 50 arcsec/hour [ScRD §2.5.4.4]</t>
    </r>
  </si>
  <si>
    <t>Near- IR imager (no coronagraph because many asteroids will be resolved)</t>
  </si>
  <si>
    <t>Target sample ≥ 300 asteroids in ≤ 4 yr. [SCRD §2.5.3 ¶4] Leads to requirement of ≥ 25 targets per 11 hour night.  [SCRD §2.5.5.2]</t>
  </si>
  <si>
    <t>Assumes 3 good nights per year.  Needs high observing efficiency: Able to slew to new target and complete the entire observation within 26 minutes on average.</t>
  </si>
  <si>
    <t>Observing wavelengths I through H bands, for optimum companion sensitivity [Source: KAON 529].  J band is best when seeing is good.  H band could be used when seeing is poor. [SCRD 2.5.6.6]</t>
  </si>
  <si>
    <t>Visible and IR imagers.</t>
  </si>
  <si>
    <t>Labor Only</t>
  </si>
  <si>
    <t>Plan (hours)</t>
  </si>
  <si>
    <t>Determine if feasible to reuse existing Xinetics DM even if have 30% hysteresis (DG).
1/7/09: Decided to use a new DM as our baseline.  It may be possible to use a lower BW TT stage for the woofer since have the MEMS on TT platforms.  Should evaluated during PD (Telescope TT data in a Neyman KAON).</t>
  </si>
  <si>
    <t>Do not implement the TWFS in the narrow field relay.  
Change the wide field relay TWFS from NIR to visible.</t>
  </si>
  <si>
    <t>Already have a NIR TWFS in the wide field relay &amp; a NGS is more likely to be found in this wider field.
Any static non-common path errors in the narrow field relay will already be calibrated out via image sharpening on the narrow field science instruments.  The only dynamic part is what the narrow field MEMS is doing and this can be known from the commands sent to this MEMs.  Will require some extra work on the operational software side.
The change to vis assumes that visible light is available here.
Confirm that visible light available at LOWFS (DG) &amp; that no significant performance hit (RD).  1/7/09: DG confirms vis light available with new switchyard.  RD does not have a TWFS error budget but is not particularly concerned about a vis TWFS.  During PD need to verify that LOWFS optics transmit 500-1000 nm or could potentially use LOWFS NIR detector also for TWFS.</t>
  </si>
  <si>
    <t>17.10</t>
  </si>
  <si>
    <t>Cost driver</t>
  </si>
  <si>
    <t>Not met.  Descoped to 1 IFU</t>
  </si>
  <si>
    <t>NIR IFU or d-IFU</t>
  </si>
  <si>
    <t>Vis &amp; NIR imagers, NIR IFU</t>
  </si>
  <si>
    <t>NIR imager</t>
  </si>
  <si>
    <t>Vis &amp; NIR imagers</t>
  </si>
  <si>
    <t>Vis &amp; NIR Imagers, NIR IFU</t>
  </si>
  <si>
    <t>Vis &amp; NIR imagers, NIR IFU or d-IFU</t>
  </si>
  <si>
    <t>Sufficiently high throughput and low emissivity of the AO system science path to achieve this sensitivity.
Background due to emissivity less than 30% of unattenuated (sky + tel).</t>
  </si>
  <si>
    <t>NIR imager, NIR IFU</t>
  </si>
  <si>
    <t>9a</t>
  </si>
  <si>
    <t>Distance galaxies lensed by clusters - imaging studies</t>
  </si>
  <si>
    <t>9b</t>
  </si>
  <si>
    <t>Distant galaxies lensed by clusters - spectroscopic studies</t>
  </si>
  <si>
    <t>Astrometry science in sparse fields</t>
  </si>
  <si>
    <t>Resolved stellar populations in crowded fields</t>
  </si>
  <si>
    <t>Debris disks</t>
  </si>
  <si>
    <t>Young stellar objects</t>
  </si>
  <si>
    <t>Infrared imager and IFUs designed for J, H, and K. Each entire wavelength band should be observable in one exposure.</t>
  </si>
  <si>
    <t>z&amp;Y could drive dichroic choices</t>
  </si>
  <si>
    <t>NIR imager, NIR IFU or d-IFU</t>
  </si>
  <si>
    <t>High redshift galaxies</t>
  </si>
  <si>
    <t>Change to goal</t>
  </si>
  <si>
    <t>170 nm wfe</t>
  </si>
  <si>
    <t>50% EE in 70 mas</t>
  </si>
  <si>
    <t>1"x3" IFU</t>
  </si>
  <si>
    <t>30% sky coverage</t>
  </si>
  <si>
    <t>Calibrated data cubes</t>
  </si>
  <si>
    <t>0.85-2.4 um</t>
  </si>
  <si>
    <t>Sampling?</t>
  </si>
  <si>
    <t>FOV?</t>
  </si>
  <si>
    <t>0.1 mas astrometry</t>
  </si>
  <si>
    <t>10" FOV</t>
  </si>
  <si>
    <t>Calibrated PSF</t>
  </si>
  <si>
    <t>Idea</t>
  </si>
  <si>
    <t>Cost Savings</t>
  </si>
  <si>
    <t>ID #</t>
  </si>
  <si>
    <t>Discussion</t>
  </si>
  <si>
    <t>Required wavelength range: 0.85 – 2.4 microns</t>
  </si>
  <si>
    <t>Near IR IFU spectrograph; near IR and visible imagers.</t>
  </si>
  <si>
    <t>Required spatial resolution will be discussed in a future release of this document.  Will be determined by considerations of PSF subtraction accuracy.  Hence required resolution will be higher than in the high-z galaxy science case.</t>
  </si>
  <si>
    <t>Desirable to use central QSO point source as one of the tip-tilt reference stars, if possible.</t>
  </si>
  <si>
    <t>PSF must be oversampled in order to achieve required subtraction accuracy.  Quantitative requirements will be discussed in future releases of the SCRD.</t>
  </si>
  <si>
    <t>Photometric accuracy and PSF knowledge required for subtracting the central point source in order to characterize the host galaxy must be adequate to obtain host galaxy colors to 20% for a contrast ratio of up to 200 at a distance of ½ arc sec from the point source.</t>
  </si>
  <si>
    <t>Requires excellent PSF stability and knowledge; future releases of the SCRD will discuss the quantitative requirements.  Will have implications for required AO wavefront error, AO stability, and required signal to noise ratio.</t>
  </si>
  <si>
    <t>Required calibration stability and accuracy, zero-point stability and knowledge, quality of flat-fielding will be discussed quantitatively in future releases of the SCRD.  PSF must be oversampled in order to achieve required subtraction accuracy.  Quantitative requirements will be discussed in future releases of the SCRD.</t>
  </si>
  <si>
    <t xml:space="preserve">SNR for spatially resolved spectroscopy of the host galaxy will be determined by accuracy of PSF subtraction and by minimization of scattered light from the central point source.  </t>
  </si>
  <si>
    <t>May benefit from specialized coronagraph design to block light from central point source.</t>
  </si>
  <si>
    <t>Required observation planning tools (e.g. guide stars); PSF simulation tools to plan for whether PSF subtraction will be good enough to see the host galaxy</t>
  </si>
  <si>
    <t>8a.1</t>
  </si>
  <si>
    <t xml:space="preserve">Sensitivity: SNR ≥ 3 per pixel (100 per source) for a z = 1 – 2 galaxy in an integration time ≤ 1/2 hour.  </t>
  </si>
  <si>
    <t>Background due to emissivity less than 30% of unattenuated (sky + tel).</t>
  </si>
  <si>
    <t>8a.2</t>
  </si>
  <si>
    <t>Target sample size of ≥ 200 galaxies, with density on the sky of 10 per square degree.  Survey time ~ 3 years.</t>
  </si>
  <si>
    <t>Overhead less than 10 min between targets.</t>
  </si>
  <si>
    <t>10 per square degree implies that you will only be able to observe one target at a time – average of 1 in every ~19’x19’ patch.</t>
  </si>
  <si>
    <t>8a.3</t>
  </si>
  <si>
    <t>Observing wavelengths =  I through K (to 2.4 µm).  Emphasis is on shorter wavelengths.   Thermal part of K band less important. [SCRD §3.2.6.5]</t>
  </si>
  <si>
    <t>8a.4</t>
  </si>
  <si>
    <t>Spatial resolution better than 50 mas at J band, for 30% sky coverage.</t>
  </si>
  <si>
    <t>Need a good model of the PSF or a simultaneous image of a PSF star.  Need a figure of merit for goodness of the PSF: how well the model fits the “real” PSF in two dimensions.  Will  quantify in future releases of the SCRD.</t>
  </si>
  <si>
    <t>Nyquist sampling of pixels at each wavelength.</t>
  </si>
  <si>
    <t>8a.5</t>
  </si>
  <si>
    <t>Field of view &gt; 15” diameter for survey.  Bigger is better.  Some degradation between center and edge of field is tolerable.  Will  quantify in future releases of the SCRD. [SCRD §3.2.6.2]</t>
  </si>
  <si>
    <t>8a.6</t>
  </si>
  <si>
    <t>Relative photometry to ≤ 0.1 mag for observations during a single night [SCRD §3.2.4.4]</t>
  </si>
  <si>
    <t>8a.7</t>
  </si>
  <si>
    <t>Absolute photometry ≤ 0.3 mag [SCRD §3.2.4.4]</t>
  </si>
  <si>
    <t>8a.8</t>
  </si>
  <si>
    <t>Sky coverage at least 30% with enclosed energy radius within 0.07 arc sec at H or K. [SCRD §3.2.4.9]</t>
  </si>
  <si>
    <t>8a.9</t>
  </si>
  <si>
    <t>Dithering and offset considerations: 1) Initially should be able to center a galaxy to ≤ 10% of science field of view.  2) Should know the relative position of the galaxy after a dither to ≤ 20% of pixel size.</t>
  </si>
  <si>
    <t>8a.10</t>
  </si>
  <si>
    <t>8a.11</t>
  </si>
  <si>
    <t>The following data products are required: accurate distortion map (to 1% of the size of the galaxy, or 0.01 arc sec rms)</t>
  </si>
  <si>
    <t>8a</t>
  </si>
  <si>
    <t>Distant galaxies lensed by galaxies - spectroscopic studies</t>
  </si>
  <si>
    <t>Distant galaxies lensed by galaxies - imaging studies</t>
  </si>
  <si>
    <t>8b.1</t>
  </si>
  <si>
    <t>SNR ≥ 10 for a z = 1 – 2 galaxy in an integration time ≤ 3 hours for a Gaussian width 20 km/sec Gaussian width (50 km/sec FWHM) with a spatial resolution of 50 mas</t>
  </si>
  <si>
    <t>Instrument Budget</t>
  </si>
  <si>
    <t>Contingency (30%)</t>
  </si>
  <si>
    <t>Mechanical Engineering</t>
  </si>
  <si>
    <t>Optical Engineering</t>
  </si>
  <si>
    <t>Electrical Engineering</t>
  </si>
  <si>
    <t>Software Engineering</t>
  </si>
  <si>
    <t>Other (management, technical staff)</t>
  </si>
  <si>
    <t>Procurements</t>
  </si>
  <si>
    <t>Equipment and Fabrications</t>
  </si>
  <si>
    <t>Misc. Supplies and Meeting Costs</t>
  </si>
  <si>
    <t>Notes</t>
  </si>
  <si>
    <t>Expenses</t>
  </si>
  <si>
    <t>Hours</t>
  </si>
  <si>
    <t>Cost</t>
  </si>
  <si>
    <t>1.  Labor cost based on a blended WMKO/mainland rate of $60 per hour in FY08.</t>
  </si>
  <si>
    <t>1,2</t>
  </si>
  <si>
    <t>Project Total</t>
  </si>
  <si>
    <t>Technicians</t>
  </si>
  <si>
    <t>Fringe Benefits</t>
  </si>
  <si>
    <t>Total Non-Labor Costs</t>
  </si>
  <si>
    <t>Calendar 2009</t>
  </si>
  <si>
    <t>Project Phase</t>
  </si>
  <si>
    <t>PD</t>
  </si>
  <si>
    <t>DD</t>
  </si>
  <si>
    <t>Calendar 2010</t>
  </si>
  <si>
    <t>Calendar 2011</t>
  </si>
  <si>
    <t>Calendar 2012</t>
  </si>
  <si>
    <t>Calendar 2013 (delivery to NGAO 4/5/13)</t>
  </si>
  <si>
    <t>FSD</t>
  </si>
  <si>
    <t>Total Salaries and Wages</t>
  </si>
  <si>
    <t>Total Salaries, Wages and Fringe Benefits</t>
  </si>
  <si>
    <t>Equipment and Fabrication Estimate</t>
  </si>
  <si>
    <t>hours</t>
  </si>
  <si>
    <t>Support Astronomer/Project Scientist</t>
  </si>
  <si>
    <t>3.  Labor cost based on a WMKO rate of $57 per hour in FY08, assume academic appointment (zero cost) for other science participation.</t>
  </si>
  <si>
    <t>4.  Management labor cost based on a WMKO senior management rate of $65 per hour in FY08</t>
  </si>
  <si>
    <t>5. Technician labor cost based on a blended WMKO/mainland rate of $35 per hour in FY08.</t>
  </si>
  <si>
    <t>6.  Benefits at 30% rate.</t>
  </si>
  <si>
    <t>1  FTE</t>
  </si>
  <si>
    <t>FY08 rates (see notes)</t>
  </si>
  <si>
    <t>inflation</t>
  </si>
  <si>
    <t>% per annum</t>
  </si>
  <si>
    <t>Totals</t>
  </si>
  <si>
    <t>Dewar</t>
  </si>
  <si>
    <t>Optics</t>
  </si>
  <si>
    <t>Structure and shell</t>
  </si>
  <si>
    <t>Filter wheel</t>
  </si>
  <si>
    <t>Coronagraph</t>
  </si>
  <si>
    <t>Detector (Hawaii-2RG)</t>
  </si>
  <si>
    <t>Electronics</t>
  </si>
  <si>
    <t>Motion control</t>
  </si>
  <si>
    <t>Temperature and vacuum</t>
  </si>
  <si>
    <t>Pulse tube cooler</t>
  </si>
  <si>
    <t>Detector target computer</t>
  </si>
  <si>
    <t>Host computer</t>
  </si>
  <si>
    <t>Cables and interconnects</t>
  </si>
  <si>
    <t>Power control</t>
  </si>
  <si>
    <t>Enclosure</t>
  </si>
  <si>
    <t>7.  Inflation applied at 4% per year.</t>
  </si>
  <si>
    <t>Structure</t>
  </si>
  <si>
    <t>Detector (LBNL 4K x 4K)</t>
  </si>
  <si>
    <t>Detector dewar</t>
  </si>
  <si>
    <t>Cryotiger cooler</t>
  </si>
  <si>
    <t>Multiple (6-12) IFUs, deployable on the 5 square arc minute field of regard</t>
  </si>
  <si>
    <t>Spectral resolution of &gt;3000 in IFUs</t>
  </si>
  <si>
    <t>Wavefront error 170 nm or better</t>
  </si>
  <si>
    <t>Nyquist sampled pixels at each wavelength</t>
  </si>
  <si>
    <t>Wavefront error sufficiently low (~170 nm) to achieve the stated requirement in J, H, and K bands.</t>
  </si>
  <si>
    <t>IFU spaxel size: either 35 or 70 mas, to be determined during the design study for the multiplexed IFU spectrograph</t>
  </si>
  <si>
    <t>Velocity determined to ≤ 20 km/sec for spatial resolutions of 70 mas</t>
  </si>
  <si>
    <t xml:space="preserve">PSF intensity distribution known to ≤ 10% per spectral channel.  </t>
  </si>
  <si>
    <t xml:space="preserve">Each MOAO IFU channel passes a 1”x3” field.  </t>
  </si>
  <si>
    <t>Each IFU unit’s field of view is 1” x 3”</t>
  </si>
  <si>
    <t>See #1.8</t>
  </si>
  <si>
    <t>Relative photometry to ≤ 5% for observations during a single night</t>
  </si>
  <si>
    <t>Knowledge of ensquared energy in IFU spaxel to 5%. Telemetry system that monitors tip/tilt star Strehl and other real-time data to estimate the EE vs. time, or other equivalent method to determine PSF to the required accuracy.</t>
  </si>
  <si>
    <t>Infrared tip/tilt sensors with AO correction of tip/tilt stars</t>
  </si>
  <si>
    <t>Should be able to center a galaxy to ≤ 10% of science field of view</t>
  </si>
  <si>
    <t>Should know the relative position of the galaxy to ≤ 20% of spaxel size</t>
  </si>
  <si>
    <t>Target drift should be ≤ 10% of spaxel size in 1 hr</t>
  </si>
  <si>
    <t>The following observing preparation tools are required: PSF simulation and exposure time calculator</t>
  </si>
  <si>
    <t>The following data products are required: calibrated spectral data cube</t>
  </si>
  <si>
    <t>#</t>
  </si>
  <si>
    <t>Science Performance Requirement</t>
  </si>
  <si>
    <t>AO Derived Requirements</t>
  </si>
  <si>
    <t>Instrument Requirements</t>
  </si>
  <si>
    <r>
      <t>Sensitivity</t>
    </r>
    <r>
      <rPr>
        <sz val="12"/>
        <rFont val="Times New Roman"/>
        <family val="1"/>
      </rPr>
      <t>. SNR ≥ 10 for a z = 2.6 galaxy in an integration time ≤ 3 hours for a spectral resolution R = 3500 with a spatial resolution of 70 mas
[SCRD §2.1.4]</t>
    </r>
  </si>
  <si>
    <r>
      <t xml:space="preserve">Multi-object AO system: one DM per arm, </t>
    </r>
    <r>
      <rPr>
        <i/>
        <sz val="12"/>
        <rFont val="Times New Roman"/>
        <family val="1"/>
      </rPr>
      <t>or</t>
    </r>
    <r>
      <rPr>
        <sz val="12"/>
        <rFont val="Times New Roman"/>
        <family val="1"/>
      </rPr>
      <t xml:space="preserve"> an upstream MCAO system correcting the entire field of regard.
6-12 arms on 5 square arc minutes patrol field.</t>
    </r>
  </si>
  <si>
    <r>
      <t>Target sample size</t>
    </r>
    <r>
      <rPr>
        <sz val="12"/>
        <rFont val="Times New Roman"/>
        <family val="1"/>
      </rPr>
      <t xml:space="preserve"> of ≥ 200 galaxies in ≤ 3 years (assuming a target density of 4 galaxies per square arcmin)
[SCRD §2.1.3]</t>
    </r>
  </si>
  <si>
    <t>Either need to use neutral density filters, or have a fast shutter, or have a detector with large wells or very short exposure times (and low read noise).  Note: these observations will have high overhead.</t>
  </si>
  <si>
    <t>The following observing preparation tools are required: PSF simulation, target ephemeris, exposure time calculator to enable choice of ND filter and exposure time.</t>
  </si>
  <si>
    <t>The following data products are required: Calibrated PSF.</t>
  </si>
  <si>
    <t>Observing requirements: Io and Titan are time domain targets; Io requires ≤ 1 hr notification of volcano activity. Typical timescales for clouds on Titan are of order days to weeks.</t>
  </si>
  <si>
    <t>Jupiter &amp; Saturn: near-IR imager from 0.8-2.4 µm 
Io: IFU 0.8-2.4 µ 
Titan: IFU 0.8-2.4 µm</t>
  </si>
  <si>
    <t>Imager field of view 
≥ 30” diameter at K band, 
≥ 20” diameter at J and H bands (goal 30”)</t>
  </si>
  <si>
    <t>15.10</t>
  </si>
  <si>
    <t>Ice Giants</t>
  </si>
  <si>
    <r>
      <t>Capability of tracking a moving target</t>
    </r>
    <r>
      <rPr>
        <sz val="12"/>
        <rFont val="Times New Roman"/>
        <family val="1"/>
      </rPr>
      <t xml:space="preserve"> with rate up ≤ 5.0 arcseconds per hour (1.4 mas/sec) [SCRD §3.8.5.1]</t>
    </r>
  </si>
  <si>
    <t>Near-IR imager, 0.8 - 2.4  µm</t>
  </si>
  <si>
    <r>
      <t>Photometric accuracy:</t>
    </r>
    <r>
      <rPr>
        <sz val="12"/>
        <rFont val="Times New Roman"/>
        <family val="1"/>
      </rPr>
      <t xml:space="preserve"> comparable to the current Keck system [SCRD §3.8.4.5]</t>
    </r>
  </si>
  <si>
    <t>Near- IR imager</t>
  </si>
  <si>
    <r>
      <t>Targets:</t>
    </r>
    <r>
      <rPr>
        <sz val="12"/>
        <rFont val="Times New Roman"/>
        <family val="1"/>
      </rPr>
      <t xml:space="preserve"> Uranus and Neptune systems.  Observations of atmospheric vertical structure will require a near-IR IFU, to be described in more detail in a future release of the SCRD.</t>
    </r>
  </si>
  <si>
    <t>Near-IR imager, 0.8 – 2.4  µm, Near-IR IFU 1.0 – 2.4 µm</t>
  </si>
  <si>
    <r>
      <t>Observing wavelengths:</t>
    </r>
    <r>
      <rPr>
        <sz val="12"/>
        <rFont val="Times New Roman"/>
        <family val="1"/>
      </rPr>
      <t xml:space="preserve"> J, H, K [SCRD §3.8.6.5]</t>
    </r>
  </si>
  <si>
    <t>High Strehl to reduce confusion limit: rms wavefront error ≤ 170 nm at G.C.
IR tip/tilt sensors.
Means of aligning and measuring position of tip-tilt sensors so that they permit astrometric accuracy of ≤ 100 µas.
Means of preventing WFS-blind field-distortion modes (if multi-DMs are in series).
Will require ADC.  Need astrometric error budget in order to determine ADC requirements.</t>
  </si>
  <si>
    <t>Observing wavelengths: H and K-band [SCRD §2.3.9]</t>
  </si>
  <si>
    <t>Field of view ≥ 10” x 10” for imaging [SCRD §2.3.9]</t>
  </si>
  <si>
    <r>
      <t xml:space="preserve">Ability to construct 40’x40” mosaic to tie to radio astrometric reference frame [SCRD §2.3.5] </t>
    </r>
    <r>
      <rPr>
        <i/>
        <sz val="12"/>
        <rFont val="Times New Roman"/>
        <family val="1"/>
      </rPr>
      <t>Required accuracy needs to be determined</t>
    </r>
  </si>
  <si>
    <t>The following data products are required:
Calibrated PSF, data reduction pipeline, accurate distortion map (see 3a.1)
[SCRD §2.3.5]</t>
  </si>
  <si>
    <t>GR effects in the Galactic Center - Astrometry</t>
  </si>
  <si>
    <t>3a</t>
  </si>
  <si>
    <t>3b</t>
  </si>
  <si>
    <t>GR effects in the Galactic Center - Radial Velocities</t>
  </si>
  <si>
    <t>3b.1</t>
  </si>
  <si>
    <t>3b.2</t>
  </si>
  <si>
    <t>Transmit H, K band to science instrument</t>
  </si>
  <si>
    <t>3b.3</t>
  </si>
  <si>
    <t>20 and 35 mas spaxel scales at H and K respectively</t>
  </si>
  <si>
    <t>3b.4</t>
  </si>
  <si>
    <t>Field of view ≥ 1” x 1”</t>
  </si>
  <si>
    <t>3b.5</t>
  </si>
  <si>
    <t>3b.6</t>
  </si>
  <si>
    <t>R ~ 5000 (or whatever is needed to achieve 20 km/sec sigma on these targets)</t>
  </si>
  <si>
    <t>8b.2</t>
  </si>
  <si>
    <t>Target sample size of ≥ 50 galaxies, with density on the sky of 10 per square degree.  Survey time ~ 3 years.</t>
  </si>
  <si>
    <t>Contingency (24%)</t>
  </si>
  <si>
    <t>NIR imager ROM at SDR (not presented at SDR)</t>
  </si>
  <si>
    <t>Visible imagerROM at SDR (not presented at SDR)</t>
  </si>
  <si>
    <t>The starting cost estimate (from SDR) without d-IFS</t>
  </si>
  <si>
    <t>Requirements from Science Case Requirements Document</t>
  </si>
  <si>
    <t>A tabulation/discussion of cost savings ideas &amp; rough % estimates</t>
  </si>
  <si>
    <t>Some compilation tables for the proposed savings</t>
  </si>
  <si>
    <t>Difference between "SDR Cost Estimate" &amp; "B2C Cost Estimate"</t>
  </si>
  <si>
    <r>
      <t xml:space="preserve">Ability to measure the spectral slope with R ~ 100 at 0.85-1.0 </t>
    </r>
    <r>
      <rPr>
        <sz val="12"/>
        <rFont val="Symbol"/>
        <family val="1"/>
      </rPr>
      <t>m</t>
    </r>
    <r>
      <rPr>
        <sz val="12"/>
        <rFont val="Times New Roman"/>
        <family val="1"/>
      </rPr>
      <t>m [SCRD §3.6.6.7]</t>
    </r>
  </si>
  <si>
    <r>
      <t>Ability to measure the SO</t>
    </r>
    <r>
      <rPr>
        <vertAlign val="subscript"/>
        <sz val="12"/>
        <rFont val="Times New Roman"/>
        <family val="1"/>
      </rPr>
      <t>2</t>
    </r>
    <r>
      <rPr>
        <sz val="12"/>
        <rFont val="Times New Roman"/>
        <family val="1"/>
      </rPr>
      <t xml:space="preserve"> frost bands at R=1000 (R=5000 is acceptable) at 1.98 and 2.12 </t>
    </r>
    <r>
      <rPr>
        <sz val="12"/>
        <rFont val="Symbol"/>
        <family val="1"/>
      </rPr>
      <t>m</t>
    </r>
    <r>
      <rPr>
        <sz val="12"/>
        <rFont val="Times New Roman"/>
        <family val="1"/>
      </rPr>
      <t>m,  crystalline ice band at 1.65 microns. [SCRD §3.6.6.7]</t>
    </r>
  </si>
  <si>
    <t>Spectroscopic imaging at R~1000 to 5000 in the H and K bands.</t>
  </si>
  <si>
    <t>Gas Giants</t>
  </si>
  <si>
    <t>FY09 inflation =</t>
  </si>
  <si>
    <t>FY10-15 inflation =</t>
  </si>
  <si>
    <t>Actuals (hrs)</t>
  </si>
  <si>
    <t>Plan (hrs)</t>
  </si>
  <si>
    <t>Phase</t>
  </si>
  <si>
    <t>Labor (PY)</t>
  </si>
  <si>
    <t>Non-Labor</t>
  </si>
  <si>
    <t>Sub-total</t>
  </si>
  <si>
    <t>Contin-gency</t>
  </si>
  <si>
    <t>% of NGAO Budget</t>
  </si>
  <si>
    <t>% =</t>
  </si>
  <si>
    <t>% of Reduc-tion</t>
  </si>
  <si>
    <t>Revised Cost Estimate (FY08 $)</t>
  </si>
  <si>
    <t>Cost Estimate Reduction (FY08 $)</t>
  </si>
  <si>
    <t>AO System</t>
  </si>
  <si>
    <t>Laser System</t>
  </si>
  <si>
    <t>Telescope &amp; Summit Eng.</t>
  </si>
  <si>
    <t>Telescope I&amp;T</t>
  </si>
  <si>
    <t>WBS Title</t>
  </si>
  <si>
    <t>D&amp;C</t>
  </si>
  <si>
    <t>Base Cost</t>
  </si>
  <si>
    <t>Sub-Totals =</t>
  </si>
  <si>
    <t>% Contin-gency</t>
  </si>
  <si>
    <r>
      <t>Capability of tracking a moving target</t>
    </r>
    <r>
      <rPr>
        <sz val="12"/>
        <rFont val="Times New Roman"/>
        <family val="1"/>
      </rPr>
      <t xml:space="preserve"> with rate up ≤ 50 arcseconds per hour (14 mas/second) [SCRD §3.7.5.1]</t>
    </r>
  </si>
  <si>
    <t>Contingency</t>
  </si>
  <si>
    <t>IFS Design</t>
  </si>
  <si>
    <t>Imager and IFS Instrument</t>
  </si>
  <si>
    <t>Total=</t>
  </si>
  <si>
    <t>Contingency (10/30%)</t>
  </si>
  <si>
    <t>(Based on FY09 dollars)</t>
  </si>
  <si>
    <t>Source Data</t>
  </si>
  <si>
    <r>
      <t>Capability of using at least one tip-tilt star that is moving with respect to the (moving) target planet</t>
    </r>
    <r>
      <rPr>
        <sz val="12"/>
        <rFont val="Times New Roman"/>
        <family val="1"/>
      </rPr>
      <t>.  (For example, a moon of Jupiter or Saturn) [SCRD §3.7.5.1]</t>
    </r>
  </si>
  <si>
    <t>Motion of low order wavefront sensor to track tip-tilt star.</t>
  </si>
  <si>
    <r>
      <t>Ability to acquire Io within 5” of Jupiter and to track it to within 2.5” of Jupiter.</t>
    </r>
    <r>
      <rPr>
        <sz val="12"/>
        <rFont val="Times New Roman"/>
        <family val="1"/>
      </rPr>
      <t xml:space="preserve">  Note that this is a goal but perhaps not a rigid requirement: we know we can acquire within 10” today.</t>
    </r>
  </si>
  <si>
    <t>May require either a diaphragm or a filter to attenuate the light from Jupiter.</t>
  </si>
  <si>
    <t>See AO derived requirement.</t>
  </si>
  <si>
    <r>
      <t>Sensitivity:</t>
    </r>
    <r>
      <rPr>
        <sz val="12"/>
        <rFont val="Times New Roman"/>
        <family val="1"/>
      </rPr>
      <t xml:space="preserve"> comparable to the current Keck system</t>
    </r>
  </si>
  <si>
    <r>
      <t>Absolute Photometric</t>
    </r>
    <r>
      <rPr>
        <sz val="12"/>
        <rFont val="Times New Roman"/>
        <family val="1"/>
      </rPr>
      <t xml:space="preserve"> </t>
    </r>
    <r>
      <rPr>
        <i/>
        <sz val="12"/>
        <rFont val="Times New Roman"/>
        <family val="1"/>
      </rPr>
      <t>accuracy:</t>
    </r>
    <r>
      <rPr>
        <sz val="12"/>
        <rFont val="Times New Roman"/>
        <family val="1"/>
      </rPr>
      <t xml:space="preserve"> comparable to the current Keck system (≤ 0.05 mag) [SCRD §3.7.4.4]</t>
    </r>
  </si>
  <si>
    <t>PSF knowledge</t>
  </si>
  <si>
    <t>Detector flat-fielding requirements, linearity, etc will flow down from required photometric accuracy.</t>
  </si>
  <si>
    <r>
      <t>Targets</t>
    </r>
    <r>
      <rPr>
        <sz val="12"/>
        <rFont val="Times New Roman"/>
        <family val="1"/>
      </rPr>
      <t>: Jupiter and Saturn systems, with special focus on Io and Titan</t>
    </r>
  </si>
  <si>
    <t>AO system capable of working in the presence of scattered light from nearby extended objects; NGS option for bright moons</t>
  </si>
  <si>
    <r>
      <t>Observing wavelengths</t>
    </r>
    <r>
      <rPr>
        <sz val="12"/>
        <rFont val="Times New Roman"/>
        <family val="1"/>
      </rPr>
      <t xml:space="preserve"> I, z/Y, J, H, K [SCRD §3.7.6.5]</t>
    </r>
  </si>
  <si>
    <t>AO system must pass these wavelengths to science instruments.</t>
  </si>
  <si>
    <r>
      <t xml:space="preserve">Near- IR imager and IFU spectrometer, </t>
    </r>
    <r>
      <rPr>
        <sz val="12"/>
        <rFont val="Symbol"/>
        <family val="1"/>
      </rPr>
      <t>l</t>
    </r>
    <r>
      <rPr>
        <sz val="12"/>
        <rFont val="Times New Roman"/>
        <family val="1"/>
      </rPr>
      <t>= 0.8-2.4 µm</t>
    </r>
  </si>
  <si>
    <r>
      <t>Spatial sampling:</t>
    </r>
    <r>
      <rPr>
        <sz val="12"/>
        <rFont val="Times New Roman"/>
        <family val="1"/>
      </rPr>
      <t xml:space="preserve"> for imager, ≤ Nyquist at the observing wavelength</t>
    </r>
  </si>
  <si>
    <r>
      <t>For imager, spatial sampling ≤ Nyquist at the observing wavelength.  For IFU, spatial sampling ~</t>
    </r>
    <r>
      <rPr>
        <sz val="12"/>
        <rFont val="Symbol"/>
        <family val="1"/>
      </rPr>
      <t>l</t>
    </r>
    <r>
      <rPr>
        <sz val="12"/>
        <rFont val="Times New Roman"/>
        <family val="1"/>
      </rPr>
      <t>/D.</t>
    </r>
  </si>
  <si>
    <t>Imager field of view ≥ 30” diameter at K band, ≥ 20” diameter at J and H bands (goal 30”) [SCRD §3.7.6.1]</t>
  </si>
  <si>
    <t>AO system passes a &gt;30” unvignetted field of view</t>
  </si>
  <si>
    <t>IFU field of view as large as possible, up to 15” (Jupiter’s diameter is 30”, Great Red Spot is 13” diameter) [SCRD §3.7.6.1]</t>
  </si>
  <si>
    <t>If IFU FOV is only a few arc sec, desirable to be able to place different IFUs as close together as possible.  No firm numerical requirement.</t>
  </si>
  <si>
    <t>Moons are very bright: do not allow saturation.  Typical brightness: 5 mag per square arc sec.</t>
  </si>
  <si>
    <t>Technical field for low-order wavefront guidestar pickoff large enough to achieve 30% sky coverage  at high galactic latitude. Ability to acquire and track 3 tip/tilt stars. (More lenient if parent star can be used as one of the three TT stars.)  Or ability to measure everything sufficiently with a single H=15 TT star (pyramid sensors).</t>
  </si>
  <si>
    <t>The following observing preparation tools are required: guide star finder for high proper-motion stars</t>
  </si>
  <si>
    <t>Rationale</t>
  </si>
  <si>
    <t>% of WBS in this Phase</t>
  </si>
  <si>
    <t xml:space="preserve"> </t>
  </si>
  <si>
    <t>PD Phase</t>
  </si>
  <si>
    <t>Total of all Phases</t>
  </si>
  <si>
    <t>DD Phase</t>
  </si>
  <si>
    <t>FSD Phase</t>
  </si>
  <si>
    <t>DC Phase</t>
  </si>
  <si>
    <t>System Design</t>
  </si>
  <si>
    <t>FY07</t>
  </si>
  <si>
    <t>FY08</t>
  </si>
  <si>
    <t>FY09</t>
  </si>
  <si>
    <t>FY10</t>
  </si>
  <si>
    <t>FY11</t>
  </si>
  <si>
    <t>FY12</t>
  </si>
  <si>
    <t>FY13</t>
  </si>
  <si>
    <t>Preliminary Design</t>
  </si>
  <si>
    <t>Detailed Design</t>
  </si>
  <si>
    <t>Full Scale Development</t>
  </si>
  <si>
    <t>Delivery &amp; Commissioning</t>
  </si>
  <si>
    <t>Annual inflation =</t>
  </si>
  <si>
    <t>Start</t>
  </si>
  <si>
    <t>End</t>
  </si>
  <si>
    <t>Months</t>
  </si>
  <si>
    <t>FY14</t>
  </si>
  <si>
    <t>FY15</t>
  </si>
  <si>
    <t>Years of inflation</t>
  </si>
  <si>
    <t>NGAO System</t>
  </si>
  <si>
    <t>NIR Imager</t>
  </si>
  <si>
    <t>NIR IFU</t>
  </si>
  <si>
    <t>Visible Imager</t>
  </si>
  <si>
    <t>NGAO Total =</t>
  </si>
  <si>
    <t>NGAO Instrument Total =</t>
  </si>
  <si>
    <t>Overall Total =</t>
  </si>
  <si>
    <t>Actuals ($k)</t>
  </si>
  <si>
    <t>Plan (Then-Year $k)</t>
  </si>
  <si>
    <t>Reduce the number of LGS beacons from 9 to 7</t>
  </si>
  <si>
    <r>
      <t>Analysis performed for 75 vs 50W of fixed asterism laser power (3+1 in central asterism): in worst case (KBO science case, 25% seeing) rms wfe increases from 145 to 155nm (J-band SR reduced by 4%).  
Assumes 48 or 56 subaps --&gt; Reduces RTC complexity.
Could still use 64x64 MEMS for static error correction based on TWFS.
Relatively easy upgrade back to 100W total &amp; 64 subapertures (64x64 LGS WFS lenslets &amp; RTC changes).
Tip-tilt error between 2 &amp; 7 mas rms independent of central laser asterism power.</t>
    </r>
    <r>
      <rPr>
        <i/>
        <sz val="10"/>
        <color indexed="18"/>
        <rFont val="Arial"/>
        <family val="2"/>
      </rPr>
      <t xml:space="preserve">
</t>
    </r>
    <r>
      <rPr>
        <sz val="10"/>
        <rFont val="Arial"/>
        <family val="2"/>
      </rPr>
      <t>SOR data indicates that laser return is fairly linear from 2W to 40W.</t>
    </r>
  </si>
  <si>
    <t>Error in SDR estimate (WBS 4.5.2 FSD)</t>
  </si>
  <si>
    <t>Gavel reports that the MEMS costs may be going up (WBS 4.5.2 FSD)</t>
  </si>
  <si>
    <t>WBS 4.5.1 FSD:
$364k for FPGAs.  Assume 1/3rd savings.
$2.5k for LGS WFS interface boards.  Assume 2 gone.
Inflate to FY12.</t>
  </si>
  <si>
    <t>WBS 4.5.2 FSD:
$75k for PSF monitor DM &amp; $20k for TT mechanism on TWFS.
Inflate to FY12</t>
  </si>
  <si>
    <t>WBS 4.5.2 FSD: 
$150 instead of $75/actuator.  
Assume 3x1000 &amp; 1x4000 actuators.
Inflate to FY12.</t>
  </si>
  <si>
    <t>WBS : During FSD ~$40k hardware budgeted per beam transport channel.
During FSD ~$170k budgeted for the hardware for each LGS WFS + 209k for total labor (total of $1828k).
Assume can save the hardware cost.
Inflated to FY12.</t>
  </si>
  <si>
    <t xml:space="preserve">$1.065M budgeted for AO non-real time control &amp; $0.670M for laser system control (without contingency).
EJ estimates ~$74k HW (WBS 4.4.5 FSD) &amp; 1500 hrs (WBS 4.4.3 FSD).
Inflate to FY12. </t>
  </si>
  <si>
    <r>
      <t xml:space="preserve">$6.1M (FY08) budgeted for 100W of laser power at SDR without contingency.
Assume 15% savings.
</t>
    </r>
    <r>
      <rPr>
        <sz val="10"/>
        <rFont val="Arial"/>
        <family val="2"/>
      </rPr>
      <t>Evaluation of additional infrastructure cost savings: 
Reuse of the Keck I laser lab hardware provides a savings of $80k in HW &amp; 400h in labor for laser lab I&amp;T.
The original estimate of $75k for pumps &amp; $100k for a chiller for 150W of laser can be reduced by 1/2 for 75W of laser. 
Both of the above should be inflated to FY12.</t>
    </r>
  </si>
  <si>
    <t>$14M d-IFU ROM in FY06 becomes ~$18M with inflation by FY12.
Not included in $M column since not included in current cost estimate.</t>
  </si>
  <si>
    <t>Imager fields of view ≥ 15”</t>
  </si>
  <si>
    <r>
      <t xml:space="preserve">IFU field of view: </t>
    </r>
    <r>
      <rPr>
        <sz val="12"/>
        <rFont val="Times New Roman"/>
        <family val="1"/>
      </rPr>
      <t>as large as possible, up to ≥ 15” diameter [SCRD §3.8.6.2]</t>
    </r>
  </si>
  <si>
    <r>
      <t xml:space="preserve">Spectral resolution: </t>
    </r>
    <r>
      <rPr>
        <sz val="12"/>
        <rFont val="Times New Roman"/>
        <family val="1"/>
      </rPr>
      <t>R ≥ 3000 to resolve methane absorption features. [SCRD §3.8.6.6]</t>
    </r>
  </si>
  <si>
    <t>Near-IR IFU with R~3000</t>
  </si>
  <si>
    <r>
      <t>Observing requirements:</t>
    </r>
    <r>
      <rPr>
        <sz val="12"/>
        <rFont val="Times New Roman"/>
        <family val="1"/>
      </rPr>
      <t xml:space="preserve"> one run per semester with at least 4 contiguous (partial) nights; both targets can be studied during one run</t>
    </r>
  </si>
  <si>
    <r>
      <t xml:space="preserve">The following </t>
    </r>
    <r>
      <rPr>
        <i/>
        <sz val="12"/>
        <rFont val="Times New Roman"/>
        <family val="1"/>
      </rPr>
      <t>observing preparation tools</t>
    </r>
    <r>
      <rPr>
        <sz val="12"/>
        <rFont val="Times New Roman"/>
        <family val="1"/>
      </rPr>
      <t xml:space="preserve"> are required: PSF simulation, target ephemeris, exposure time calculator to enable choice of ND filter and exposure time.</t>
    </r>
  </si>
  <si>
    <r>
      <t xml:space="preserve">The following </t>
    </r>
    <r>
      <rPr>
        <i/>
        <sz val="12"/>
        <rFont val="Times New Roman"/>
        <family val="1"/>
      </rPr>
      <t>data products</t>
    </r>
    <r>
      <rPr>
        <sz val="12"/>
        <rFont val="Times New Roman"/>
        <family val="1"/>
      </rPr>
      <t xml:space="preserve"> are required: Calibrated PSF.</t>
    </r>
  </si>
  <si>
    <r>
      <t>Observing requirements:</t>
    </r>
    <r>
      <rPr>
        <sz val="12"/>
        <rFont val="Times New Roman"/>
        <family val="1"/>
      </rPr>
      <t xml:space="preserve"> some science goals would be well suited to queue or service observing modes</t>
    </r>
  </si>
  <si>
    <t>• The planet can be used as tip/tilt guidestar (proper motion of ≤ 5.0 arcsec/hour). 
• The AO system requires sufficient field of view for planets and for their seeing disks (&gt;5 arcsec). 
• The tip-tilt residual error will be less than 10 mas (limited by resolved primary) while guiding on one planet at 5.0 arcsec/hr (1.4 mas/sec).</t>
  </si>
  <si>
    <t>Assumes NIR IFU will be more capable.
Places significant constraints on the design to reuse an existing instrument (physical layout + control).
Lose ability to multiplex, but would have to add cost to make either OSIRIS or IFU deployable.
Allows OSIRIS to be used on other telescope.
NOTE: This savings has not been taken.  Need to first understand if lower combined cost if use a new NIR IFU &amp; OSIRIS (possibly upgraded) to meet the science needs.</t>
  </si>
  <si>
    <t>170nm wavefront error at G.C.
PSF estimation sufficient to measure a radial velocity to 10 km/sec.
[suggestions from SCRD §2.3.8.2]</t>
  </si>
  <si>
    <t>Spectral resolution ≥ 4000
Calibration of one IFU relative to other ones sufficient to permit 10 km/sec radial velocity measurement</t>
  </si>
  <si>
    <r>
      <t>Radial velocity</t>
    </r>
    <r>
      <rPr>
        <sz val="12"/>
        <rFont val="Times New Roman"/>
        <family val="1"/>
      </rPr>
      <t xml:space="preserve"> accuracy ≤ 10 km/sec for objects ≤ 5” from the Galactic Center [SCRD §2.3.8.2]</t>
    </r>
  </si>
  <si>
    <t>Observing wavelengths H, K-band [SCRD §2.3.6]</t>
  </si>
  <si>
    <t>Spatial sampling ≤  20 mas (H) or 35 mas (K) to control confusion within IFU field of view [SCRD §2.3.6]</t>
  </si>
  <si>
    <t>Field of view ≥ 1” x 1” [SCRD §2.3.6]</t>
  </si>
  <si>
    <t>The following data products are required: IFU pipeline for wavelength/flux calibration [SCRD §2.3.6]</t>
  </si>
  <si>
    <t>Planets around Low Mass Stars</t>
  </si>
  <si>
    <t>Observe 20 targets per night (each with e.g. 20 min integration time).  Guide on a tip-tilt star with H=14.  Talk to Mike Liu re guide star magnitude.</t>
  </si>
  <si>
    <t>Should proceed with MRI proposal to allow us to implement the launch facility early, but shouldn't count on cost savings.</t>
  </si>
  <si>
    <t>Fewer devices &amp; controlled degrees of freedom</t>
  </si>
  <si>
    <t>Reduced RTC complexity</t>
  </si>
  <si>
    <t>Fix the central four LGS beacons</t>
  </si>
  <si>
    <t>Should continue with laser vendor preliminary designs to reduce laser cost uncertainty.</t>
  </si>
  <si>
    <t>The absence of the d-IFS makes this more feasible.  Could identify the fixed asterism which best optimizes the on-axis science correction versus atmospheric conditions.  The three remaining beacons could be used to directly provide sharpening information on the TT stars or to enhance the on-axis correction or a compromise betwen the two.
This removes the need for 4 movable LGS beacons &amp; 4 movable LGS WFS.
Removes 16 degrees of freedom.
May be a design challenge to implement 3 with pick-offs with 4 fixed.</t>
  </si>
  <si>
    <t>Near infrared imager (possibly with coronagraph).  Survey primary stars at J- and H‑band.</t>
  </si>
  <si>
    <t xml:space="preserve">Observe 20 targets per night (each with e.g. 20 min integration time).  </t>
  </si>
  <si>
    <t>Target sample 3: solar type stars in nearby star forming regions such as Taurus and Ophiuchus, and young clusters @ 100 to 150 pc distance.  Bright targets (on-axis tip-tilt generally possible: V=14-15, J=10-12).  Sample size several hundred, desired maximum survey duration 3 yrs.</t>
  </si>
  <si>
    <t>(May not require LGS if there is a good enough near-IR wavefront sensor available).</t>
  </si>
  <si>
    <t>Excellent (&lt;10nm) calibration of both initial LGS spot size and quasi-static non-common path aberrations, especially at mid-spatial-frequencies.  Needs algorithms such as phase retrieval or speckle nulling (on a fiber source + good stability).  Small servo-lag error (&lt;30nm) to avoid scattered light at 0.2 arc sec.  Source: Error budget and simulations by Bruce Macintosh.</t>
  </si>
  <si>
    <t>Same as #4.4</t>
  </si>
  <si>
    <t xml:space="preserve">Excellent (10-20nm) calibration of both initial LGS spot size and quasi-static non-common path aberrations, at both low- and mid-spatial-frequencies.  Needs algorithms such as phase retrieval or speckle nulling (on a fiber source + good stability).  Small servo-lag error (&lt;30nm) to avoid scattered light at 0.2 arc sec.  Tomography errors 20-30nm.  Source: error budget and simulations by Bruce Macintosh.   </t>
  </si>
  <si>
    <r>
      <t>Requires multi-</t>
    </r>
    <r>
      <rPr>
        <sz val="12"/>
        <rFont val="MS Mincho"/>
        <family val="3"/>
      </rPr>
      <t xml:space="preserve"> λ</t>
    </r>
    <r>
      <rPr>
        <sz val="12"/>
        <rFont val="Times New Roman"/>
        <family val="1"/>
      </rPr>
      <t xml:space="preserve"> speckle suppression; very small inner working angle coronagraph (2</t>
    </r>
    <r>
      <rPr>
        <sz val="12"/>
        <rFont val="MS Mincho"/>
        <family val="3"/>
      </rPr>
      <t xml:space="preserve"> λ</t>
    </r>
    <r>
      <rPr>
        <sz val="12"/>
        <rFont val="Times New Roman"/>
        <family val="1"/>
      </rPr>
      <t>/D); static errors in 5-10nm range.</t>
    </r>
  </si>
  <si>
    <t xml:space="preserve">Guide star finder tool.
PSF simulation tool (predict energy and width of central core to within 10%).  </t>
  </si>
  <si>
    <t>PSF calibration</t>
  </si>
  <si>
    <t>I-H bands</t>
  </si>
  <si>
    <t>I-K band</t>
  </si>
  <si>
    <t>Distortion map</t>
  </si>
  <si>
    <t>15" FOV</t>
  </si>
  <si>
    <t>50 mas at J</t>
  </si>
  <si>
    <t>R~5000</t>
  </si>
  <si>
    <t>J-K</t>
  </si>
  <si>
    <t>3" FOV IFU</t>
  </si>
  <si>
    <t>0.7-1.0 um</t>
  </si>
  <si>
    <t>3" FOV</t>
  </si>
  <si>
    <t>0.85-1.0um</t>
  </si>
  <si>
    <t>H&amp;K
R~1000</t>
  </si>
  <si>
    <t>Differential tracking</t>
  </si>
  <si>
    <t>Nyquist</t>
  </si>
  <si>
    <t>30" FOV at K</t>
  </si>
  <si>
    <t>Large IFU</t>
  </si>
  <si>
    <t>R&gt;3000</t>
  </si>
  <si>
    <t>5% sky coverage</t>
  </si>
  <si>
    <t>1x3" IFU</t>
  </si>
  <si>
    <t>0.8-2.4 um imaging
1.0-2.4 um IFU</t>
  </si>
  <si>
    <t>Cost Savings Groupings</t>
  </si>
  <si>
    <t>1a</t>
  </si>
  <si>
    <t>1b</t>
  </si>
  <si>
    <t>LGS WFS dof reduced from 62 to 41; laser from 89 to 61; UTT from 9 to 7</t>
  </si>
  <si>
    <t>The above items result in reduced number of devices/stages to control &amp; reduced complexity.
Fewer devices: No d-IFS or IFS DM/TT to control since on-axis.  2 less LGS WFS &amp; UTT mirrors.
Fewer DOF: NGS TWFS (3 dof). LGS WFS (21). Vis imager (5). OSIRIS (1). NGS WFS ADC (3). Laser (36 dof, but need to add 8 missed dof).  Overall this represents 28% of the motion control.</t>
  </si>
  <si>
    <r>
      <t>Not a cost savings item but relevant to thought process: determine if we need windows on MEMS (possibly not if in clean room environment (but how do you handle them in earlier FSD &amp; I&amp;T?). (DG)
1/7/08: Voltage on MEMS with humidity &gt; 40% can damage MEMS.</t>
    </r>
    <r>
      <rPr>
        <sz val="10"/>
        <color indexed="18"/>
        <rFont val="Arial"/>
        <family val="2"/>
      </rPr>
      <t xml:space="preserve">  </t>
    </r>
    <r>
      <rPr>
        <i/>
        <sz val="10"/>
        <color indexed="18"/>
        <rFont val="Arial"/>
        <family val="2"/>
      </rPr>
      <t>Agreed on design change to assume no window on MEMS but will need a requirement on humidity.</t>
    </r>
  </si>
  <si>
    <r>
      <t>Consider no NGS mode or reduced capability (PW). Only limited science cases would use NGS (Io, Titan) instead of LGS.  Would get similar performance for fainter NGS that would get with K1 NGS system. Use other Nas instrument for backup science.
NGS/TWFS assly total $527k (FY08) + SY optics.  Already removed TWFS &amp; ADC ($260k then-year).
1/7/09: Agreed to keep NGS WFS in baseline design.  Also useful for high order calibration of the system (higher order than TWFS). Could be a spare for LGS WFS.</t>
    </r>
    <r>
      <rPr>
        <sz val="10"/>
        <color indexed="18"/>
        <rFont val="Arial"/>
        <family val="2"/>
      </rPr>
      <t xml:space="preserve">
</t>
    </r>
    <r>
      <rPr>
        <i/>
        <sz val="10"/>
        <color indexed="18"/>
        <rFont val="Arial"/>
        <family val="2"/>
      </rPr>
      <t>Consider looking at whether one of the LGS WFS could act as an NGS WFS (would need to add a dichroic changer unless all visible light up to ~ 800 nm available to the LGS WFS).</t>
    </r>
  </si>
  <si>
    <t>Science Fields</t>
  </si>
  <si>
    <t>Narrow &amp; Wide</t>
  </si>
  <si>
    <t>Narrow</t>
  </si>
  <si>
    <t>SDR Design</t>
  </si>
  <si>
    <t>B2C Baseline Design</t>
  </si>
  <si>
    <t>Central LGS Asterism</t>
  </si>
  <si>
    <t>5 variable, 1 fixed</t>
  </si>
  <si>
    <t>4 fixed</t>
  </si>
  <si>
    <t>Laser Location</t>
  </si>
  <si>
    <t>Nasmyth platform</t>
  </si>
  <si>
    <t>Elevation ring</t>
  </si>
  <si>
    <t>Total Power</t>
  </si>
  <si>
    <t>Savings ($M)</t>
  </si>
  <si>
    <t>No multi d-IFS</t>
  </si>
  <si>
    <t>Only narrow field</t>
  </si>
  <si>
    <t>ESO laser proposals</t>
  </si>
  <si>
    <r>
      <t xml:space="preserve">All laser proposals to ESO commit to this requirement.
Removes need for a tracking beam transport system.
Enclosure likely smaller, although complexity of installing on El ring larger. 
</t>
    </r>
    <r>
      <rPr>
        <sz val="10"/>
        <rFont val="Arial"/>
        <family val="2"/>
      </rPr>
      <t>The existing K2 laser enclosure is 1818kg.  The ESO requirement on the allowable weight for a 25W laser is 1000kg; so at least 50W of laser could be handled on a single El ring face. Further analysis would be required to determine if 3 or 4 lasers could be supported on a single El ring face.</t>
    </r>
    <r>
      <rPr>
        <i/>
        <sz val="10"/>
        <color indexed="18"/>
        <rFont val="Arial"/>
        <family val="2"/>
      </rPr>
      <t xml:space="preserve">  </t>
    </r>
    <r>
      <rPr>
        <i/>
        <sz val="10"/>
        <rFont val="Arial"/>
        <family val="2"/>
      </rPr>
      <t xml:space="preserve"> </t>
    </r>
  </si>
  <si>
    <t>1-8</t>
  </si>
  <si>
    <t>9,10</t>
  </si>
  <si>
    <t>16-18</t>
  </si>
  <si>
    <t>14,15</t>
  </si>
  <si>
    <t>11-13</t>
  </si>
  <si>
    <t>During FSD ~$40k hardware budgeted per beam transport channel.  Assume can save 1/2 of this.
During FSD ~$33k budgeted for the OSM hardware for each LGS WFS + 209k for total labor (total of $1828k). Assume can save the hardware cost.
Inflated to FY12.</t>
  </si>
  <si>
    <t>Reduce $40k hardware budgeted per beam tranport channel by 50% (add 25% contingency)
Reduce $117k budgeted for launch facility labor during FSD by 10%.
Remove $50k for beam transport design.
Remove $50k for telescope I&amp;T.
Inflated to FY12</t>
  </si>
  <si>
    <t>Reduced flexibility in exchange for reduced procurement costs.
Reduced RTC &amp; operations complexity.
Reduced implementation, calibration, I&amp;T effort.
Need to evaluate performance impact.</t>
  </si>
  <si>
    <t>No d-IFS MEMS/TT to control.
56x56 instead of 64x64 subapertures.
2 fewer LGS WFS &amp; UTT.
Scale of problem reduced from 9x64x64x(9x32x32) to 7x56x56x(3x32x32) for IFS science or a factor of 5.0.
Scale reduced from 9x64x64x(3x32x32+64x64) to 7x56x56x(3x32x32+56x56) for narrow field science or a factor of 1.9.
Tomography volume decreased from 2' dia to ~1' dia or a factor of 4.</t>
  </si>
  <si>
    <t>$136k budget for OSIRIS mods.
$60k estimate for opto-mechanical design &amp; implementation, science ops tools design &amp; implementation, &amp; integrating with NGAO.
Inflated to FY12.</t>
  </si>
  <si>
    <t>$653k budget for AO enclosure &amp; $744k for infrastructure mods for AO.
WAG = $150k less for enclosure, $150k less for mods &amp; $25k less for LGS WFS (since will need a window).
Inflated to FY12</t>
  </si>
  <si>
    <t>~$90k estimate for 2nd tier.
Estimate $20k for larger optics.
Inflated to FY12.</t>
  </si>
  <si>
    <t>New architecture - 2nd relay in transmission from 1st relay (not reflection).  Removes ~7-position switcher &amp; dichroics.
No vis imager or OSIRIS means two less dichroics/mirrors &amp; mounts.  However, do need one for the 2nd science camera (so keep the OSIRIS switcher for now).
No need for LGS acquisition switcher.
Only leaves switchers for LGS dichroic, interferometer fold, NGS acquisition &amp; OSIRIS, plus the NGS WFS field steering mounts.</t>
  </si>
  <si>
    <t>$152k in HW for post-relay 1 optics &amp; switcher.
$17k in HW for vis imager switcher, ($3k HW for OSIRIS switcher - leave) &amp; $5k for LGS acquisition switcher.
$103k in labor during optical switchyard FSD phase + $145k during DD phase.  Assume labor reduced by 40%.
Inflate to FY12 (only inflate DD phase labor to FY11).</t>
  </si>
  <si>
    <t>$431k budgeted for the NGS/TWFS assembly. 
$45k budgeted for vis TWFS detector vs $100k for NIR det.
Assume that 35% of budget is for TWFS.
Inflated to FY11 since includes design work.</t>
  </si>
  <si>
    <t>$6.84M budgeted for project management &amp; systems engineering.
Assume a 3% reduction in this amount.
Inflate to FY10 since includes design work.</t>
  </si>
  <si>
    <t>Total Savings w/ contingency ($M) =</t>
  </si>
  <si>
    <t>$3650k in then-year dollars.
Add $500k in then-year dollars to NIR imager.</t>
  </si>
  <si>
    <t>Target sample 1: Old field brown dwarfs out to distance of 20 pc.
Sample size several hundred, desired maximum survey duration 3 yrs (practical publication timescales).
[SCRD §2.4.3]</t>
  </si>
  <si>
    <t>Consider no ADCs for TT sensors.  Seems unlikely that no ADC will be adequate. (RD).  Conclusion (1/7/09): assume LOWFS ADCs.</t>
  </si>
  <si>
    <t>Could we get away without refrigeration if we do the following? (PW,DG,RD)
  Replace K-mirror w/ multiple vertical rotators (1 ea for HOWFS, LOWFS + NIR imager, NGS WFS, NIR IFU).
  Single relay w/ 48x48 or 56x56 DM instead of cascaded relay.
Science path could potentially have only ~4 high quality reflections. Could this meet &lt;30% unattenuated(sky+tel) spec?
Throughput to science instrument would be significantly higher (~4 AO surfaces vs ~18 including windows).
Throughput to LGS WFS would be higher (3 less surfaces; 7 less if include windows).
Higher DM &amp; rotator costs in exchange for no refrigeration &amp; fewer optics.
1/7/09: RD estimated that a high actuator count Xinetics DM with drivers would be $1M.  DG to evaluate emissivity &amp; thruput for this case.</t>
  </si>
  <si>
    <r>
      <t>Determine what dichroic switchyard savings can be made (DG, PW).  For example, cascade relay fed by 1st relay without a reflection; co-locating similar wavelength instruments.
1/7/09: Take multi-element decker out of cost estimate.</t>
    </r>
    <r>
      <rPr>
        <sz val="10"/>
        <color indexed="18"/>
        <rFont val="Arial"/>
        <family val="2"/>
      </rPr>
      <t xml:space="preserve">  </t>
    </r>
    <r>
      <rPr>
        <i/>
        <sz val="10"/>
        <color indexed="18"/>
        <rFont val="Arial"/>
        <family val="2"/>
      </rPr>
      <t>PW to do.</t>
    </r>
  </si>
  <si>
    <t>Target sample 2: Young (&lt;100 Myr) field brown dwarfs and low-mass stars to distance of 80 pc.  Sample size several hundred, desired maximum survey duration 3 yrs. [SCRD §2.4.3]</t>
  </si>
  <si>
    <t>Near infrared imager (possibly with coronagraph).  Survey primary at J- and H‑band.
Could benefit from dual- or multi-channel mode for rejecting speckle suppression, but not essential for this program.</t>
  </si>
  <si>
    <t>Possible dual- or multi-channel mode for speckle suppression.  Alternatively an IFU would help, provided it is Nyquist sampled at H and has FOV &gt; 1 arc sec.  Min. IFU spectral resolution is R~100.
May need IR ADC for imaging or coronagraphic observations (J or H bands); typical airmass is 1.7 for Ophiuchus.</t>
  </si>
  <si>
    <r>
      <t>Companion Sensitivity Sample 1: assume no companions beyond 15 AU. Targets at 20 to 30 pc; companion distribution peaks at 4 AU = 0.2"; this yields 2 M</t>
    </r>
    <r>
      <rPr>
        <vertAlign val="subscript"/>
        <sz val="12"/>
        <rFont val="Times New Roman"/>
        <family val="1"/>
      </rPr>
      <t>Jupiter</t>
    </r>
    <r>
      <rPr>
        <sz val="12"/>
        <rFont val="Times New Roman"/>
        <family val="1"/>
      </rPr>
      <t xml:space="preserve"> planets at a 0.2" separation with contrast </t>
    </r>
    <r>
      <rPr>
        <sz val="12"/>
        <rFont val="Symbol"/>
        <family val="1"/>
      </rPr>
      <t>Ä</t>
    </r>
    <r>
      <rPr>
        <sz val="12"/>
        <rFont val="Times New Roman"/>
        <family val="1"/>
      </rPr>
      <t>H = 10.
Planets have H=24, J=24.7.  Parent stars are 2MASS Brown Dwarfs with H=14.
[SCRD §2.4.2.1]</t>
    </r>
  </si>
  <si>
    <r>
      <t xml:space="preserve">Inner working angle of 6 </t>
    </r>
    <r>
      <rPr>
        <sz val="12"/>
        <rFont val="MS Mincho"/>
        <family val="3"/>
      </rPr>
      <t>λ</t>
    </r>
    <r>
      <rPr>
        <sz val="12"/>
        <rFont val="Times New Roman"/>
        <family val="1"/>
      </rPr>
      <t>/D general-purpose coronagraph with a contrast of 10</t>
    </r>
    <r>
      <rPr>
        <vertAlign val="superscript"/>
        <sz val="12"/>
        <rFont val="Times New Roman"/>
        <family val="1"/>
      </rPr>
      <t>-6</t>
    </r>
    <r>
      <rPr>
        <sz val="12"/>
        <rFont val="Times New Roman"/>
        <family val="1"/>
      </rPr>
      <t>.  Detailed design of coronagraph will take place during PDR stage.
Speckle suppression capability (multi-spectral imaging); dual-channel imager; stability of static errors ~5nm per sqrt(hr) for PSF subtraction or ADI.</t>
    </r>
  </si>
  <si>
    <t>Companion Sensitivity Sample 2: Parent stars are T Tauri, J=11.  A 1 MJupiter planet is at 300K, J=22, (2 MJupiter is J=19.5). This distribution could have a wider distribution of binaries
a) 0.1" separation, ÄJ = 8.5 (2MJ)
b) 0.2" separation, ÄJ = 11 (1MJ)
c) Goal ÄJ   = 11 at 0.1" separation (1MJ)
based on properties of the planets you want to look for.
[SCRD §2.4.2.2]</t>
  </si>
  <si>
    <r>
      <t xml:space="preserve">a) 6 </t>
    </r>
    <r>
      <rPr>
        <sz val="12"/>
        <rFont val="MS Mincho"/>
        <family val="3"/>
      </rPr>
      <t>λ</t>
    </r>
    <r>
      <rPr>
        <sz val="12"/>
        <rFont val="Times New Roman"/>
        <family val="1"/>
      </rPr>
      <t>/D general-purpose coronagraph
b) 6 λ/D general-purpose coronagraph
c) (Goal) Not achievable with a general purpose coronagraph. May need small inner working distance (2</t>
    </r>
    <r>
      <rPr>
        <sz val="12"/>
        <rFont val="Symbol"/>
        <family val="1"/>
      </rPr>
      <t>l</t>
    </r>
    <r>
      <rPr>
        <sz val="12"/>
        <rFont val="Times New Roman"/>
        <family val="1"/>
      </rPr>
      <t xml:space="preserve">/D) coronagraph </t>
    </r>
    <r>
      <rPr>
        <i/>
        <sz val="12"/>
        <rFont val="Times New Roman"/>
        <family val="1"/>
      </rPr>
      <t>(non-redundant aperture masking is an interesting approach for this, limits currently unknown, probably requires low read noise in science detector)</t>
    </r>
    <r>
      <rPr>
        <sz val="12"/>
        <rFont val="Times New Roman"/>
        <family val="1"/>
      </rPr>
      <t>.
Speckle suppression capability (multi-spectral imaging); dual-channel imager; stability of static errors ~5nm per sqrt(hr) for PSF subtraction or ADI.</t>
    </r>
  </si>
  <si>
    <r>
      <t>Goal: Companion Sensitivity Case 3: at 5 Myr , 1 M</t>
    </r>
    <r>
      <rPr>
        <vertAlign val="subscript"/>
        <sz val="12"/>
        <rFont val="Times New Roman"/>
        <family val="1"/>
      </rPr>
      <t>sun</t>
    </r>
    <r>
      <rPr>
        <sz val="12"/>
        <rFont val="Times New Roman"/>
        <family val="1"/>
      </rPr>
      <t xml:space="preserve"> primary;
a) goal ÄJ = 13.5 to see 1 MJupiter or 
b) goal ÄJ = 9 for 5 MJupiter. 0.07" is needed. 
For apparent magnitudes of parent stars see 4.3</t>
    </r>
  </si>
  <si>
    <t>Total =</t>
  </si>
  <si>
    <t>Trips</t>
  </si>
  <si>
    <t>Total</t>
  </si>
  <si>
    <t>Non-labor</t>
  </si>
  <si>
    <t>Conting</t>
  </si>
  <si>
    <t>Management</t>
  </si>
  <si>
    <t>Labor</t>
  </si>
  <si>
    <t>$k</t>
  </si>
  <si>
    <t>% of NGAO</t>
  </si>
  <si>
    <t>hrs</t>
  </si>
  <si>
    <t>PY</t>
  </si>
  <si>
    <t>Travel</t>
  </si>
  <si>
    <t>Planning</t>
  </si>
  <si>
    <t>Project Management &amp; Meetings</t>
  </si>
  <si>
    <t>Tracking &amp; Reporting</t>
  </si>
  <si>
    <t>Proposals &amp; Fundraising</t>
  </si>
  <si>
    <t>Programmatic Risk Assessment &amp; Mitigation</t>
  </si>
  <si>
    <t>Project Reviews</t>
  </si>
  <si>
    <t>Project Support</t>
  </si>
  <si>
    <t>Systems Engineering</t>
  </si>
  <si>
    <t>Science Case Development</t>
  </si>
  <si>
    <t>3.1.1</t>
  </si>
  <si>
    <t>Science Requirements</t>
  </si>
  <si>
    <t>3.1.2</t>
  </si>
  <si>
    <t>Science Observing Planning and Execution</t>
  </si>
  <si>
    <t>3.1.3</t>
  </si>
  <si>
    <t>Science Input to Other WBS Elements Affecting Science Performance</t>
  </si>
  <si>
    <t>3.1.4</t>
  </si>
  <si>
    <t>Science Competitiveness</t>
  </si>
  <si>
    <t>3.1.5</t>
  </si>
  <si>
    <t>User Community Liason</t>
  </si>
  <si>
    <t>3.1.6</t>
  </si>
  <si>
    <t>Science Advisory Team Meetings</t>
  </si>
  <si>
    <t>Requirements</t>
  </si>
  <si>
    <t>Systems Engineering Analysis</t>
  </si>
  <si>
    <t>3.3.1</t>
  </si>
  <si>
    <t>Performance Budgets</t>
  </si>
  <si>
    <t>3.3.2</t>
  </si>
  <si>
    <t>Modeling &amp; Analysis</t>
  </si>
  <si>
    <t>3.3.3</t>
  </si>
  <si>
    <t>PSF Calibration</t>
  </si>
  <si>
    <t>System Architecture</t>
  </si>
  <si>
    <t>3.4.1</t>
  </si>
  <si>
    <t>System Hardware Architecture</t>
  </si>
  <si>
    <t>3.4.2</t>
  </si>
  <si>
    <t>Motion Control / Electronics Architecture</t>
  </si>
  <si>
    <t>3.4.3</t>
  </si>
  <si>
    <t>System Software Architecture</t>
  </si>
  <si>
    <t>3.4.4</t>
  </si>
  <si>
    <t>Operations Sequences Architecture</t>
  </si>
  <si>
    <t>External Interface Control</t>
  </si>
  <si>
    <t>Internal Interface Control</t>
  </si>
  <si>
    <t>Configuration Management</t>
  </si>
  <si>
    <t>Documentation Control</t>
  </si>
  <si>
    <t>Technical Risk Assessment &amp; Mitigation</t>
  </si>
  <si>
    <t>3.10</t>
  </si>
  <si>
    <t>System Manual</t>
  </si>
  <si>
    <t>AO System Development</t>
  </si>
  <si>
    <t>AO Enclosure</t>
  </si>
  <si>
    <t>Optomechanical</t>
  </si>
  <si>
    <t>4.2.1</t>
  </si>
  <si>
    <t>AO Support Structure</t>
  </si>
  <si>
    <t>4.2.2</t>
  </si>
  <si>
    <t>Rotator</t>
  </si>
  <si>
    <t>4.2.3</t>
  </si>
  <si>
    <t>Optical Relays</t>
  </si>
  <si>
    <t>4.2.4</t>
  </si>
  <si>
    <t>Optical Switchyard</t>
  </si>
  <si>
    <t>4.2.5</t>
  </si>
  <si>
    <t>LGS Wavefront Sensor Assembly</t>
  </si>
  <si>
    <t>4.2.6</t>
  </si>
  <si>
    <t>NGS WFS / TWFS Assembly</t>
  </si>
  <si>
    <t>4.2.7</t>
  </si>
  <si>
    <t>Low Order Wavefront Sensor Assembly</t>
  </si>
  <si>
    <t>4.2.8</t>
  </si>
  <si>
    <t>Tip/Tilt Vibration Mitigation</t>
  </si>
  <si>
    <t>4.2.9</t>
  </si>
  <si>
    <t>Acquisition Cameras</t>
  </si>
  <si>
    <t>4.2.10</t>
  </si>
  <si>
    <t>Atmospheric Dispersion Correctors</t>
  </si>
  <si>
    <t>Alignment, Calibration, and Diagnostics</t>
  </si>
  <si>
    <t>4.3.1</t>
  </si>
  <si>
    <t>Simulator</t>
  </si>
  <si>
    <t>4.3.2</t>
  </si>
  <si>
    <t>System Alignment Tools</t>
  </si>
  <si>
    <t>4.3.3</t>
  </si>
  <si>
    <t>Atmospheric Profiler</t>
  </si>
  <si>
    <t>Non-real-time Control</t>
  </si>
  <si>
    <t>4.4.1</t>
  </si>
  <si>
    <t>AO Controls Infrastructure</t>
  </si>
  <si>
    <t>4.4.2</t>
  </si>
  <si>
    <t>AO Sequencer</t>
  </si>
  <si>
    <t>4.4.3</t>
  </si>
  <si>
    <t>Motion Control SW</t>
  </si>
  <si>
    <t>4.4.4</t>
  </si>
  <si>
    <t>Device Control SW</t>
  </si>
  <si>
    <t>4.4.5</t>
  </si>
  <si>
    <t>Motion Control Electronics</t>
  </si>
  <si>
    <t>4.4.6</t>
  </si>
  <si>
    <t>Non-RTC Electronics</t>
  </si>
  <si>
    <t>4.4.7</t>
  </si>
  <si>
    <t>Lab I&amp;T System</t>
  </si>
  <si>
    <t>4.4.8</t>
  </si>
  <si>
    <t>Acquisition, Guiding, and Offloading Control</t>
  </si>
  <si>
    <t>Real-time Control</t>
  </si>
  <si>
    <t>4.5.1</t>
  </si>
  <si>
    <t>Real-time Control Processor</t>
  </si>
  <si>
    <t>4.5.2</t>
  </si>
  <si>
    <t>DM's and Tip/Tilt Stages</t>
  </si>
  <si>
    <t>AO System Lab I&amp;T</t>
  </si>
  <si>
    <t>Laser System Development</t>
  </si>
  <si>
    <t>Laser Enclosure</t>
  </si>
  <si>
    <t>Laser</t>
  </si>
  <si>
    <t>Laser Launch Facility</t>
  </si>
  <si>
    <t>Laser Safety Systems</t>
  </si>
  <si>
    <t>Laser System Control</t>
  </si>
  <si>
    <t>Laser System Lab I&amp;T</t>
  </si>
  <si>
    <t>Science Operations</t>
  </si>
  <si>
    <t>Multi-System Command Sequencer</t>
  </si>
  <si>
    <t>6.1.1</t>
  </si>
  <si>
    <t>Sequencer Infrastructure</t>
  </si>
  <si>
    <t>6.1.2</t>
  </si>
  <si>
    <t>Setup Sequences: Configurations &amp; Calibrations</t>
  </si>
  <si>
    <t>6.1.3</t>
  </si>
  <si>
    <t>Observing Sequences</t>
  </si>
  <si>
    <t>6.1.4</t>
  </si>
  <si>
    <t>System Health and Troubleshooting</t>
  </si>
  <si>
    <t>User Interfaces</t>
  </si>
  <si>
    <t>6.2.1</t>
  </si>
  <si>
    <t>User Interface Infrastructure</t>
  </si>
  <si>
    <t>6.2.2</t>
  </si>
  <si>
    <t>Setup Operations: Configuration, Calibrations</t>
  </si>
  <si>
    <t>6.2.3</t>
  </si>
  <si>
    <t>Observations User Interfaces for operator, observer, specialist</t>
  </si>
  <si>
    <t>Pre- &amp; Post-Observing Support</t>
  </si>
  <si>
    <t>6.3.1</t>
  </si>
  <si>
    <t>Users' Documentation</t>
  </si>
  <si>
    <t>6.3.2</t>
  </si>
  <si>
    <t>Planning Tools</t>
  </si>
  <si>
    <t>6.3.3</t>
  </si>
  <si>
    <t>Data Products</t>
  </si>
  <si>
    <t>Data Server</t>
  </si>
  <si>
    <t>Telescope &amp; Summit Engineering</t>
  </si>
  <si>
    <t>Telescope Performance</t>
  </si>
  <si>
    <t>Infrastructure Mods for AO</t>
  </si>
  <si>
    <t>Infrastructure Mods for Laser</t>
  </si>
  <si>
    <t>OSIRIS Modifications</t>
  </si>
  <si>
    <t>Interferometer and OHANA Mods</t>
  </si>
  <si>
    <t>Telescope Integration &amp; Test</t>
  </si>
  <si>
    <t>Old AO/Laser Removal</t>
  </si>
  <si>
    <t>Laser Enclosure Integration</t>
  </si>
  <si>
    <t>AO  Enclosure Integration</t>
  </si>
  <si>
    <t>AO System Install + I&amp;T</t>
  </si>
  <si>
    <t>Laser System Install + I&amp;T</t>
  </si>
  <si>
    <t>LGS AO System On-sky I&amp;T</t>
  </si>
  <si>
    <t>Performance Characterization</t>
  </si>
  <si>
    <t>Science Verification</t>
  </si>
  <si>
    <t>Operations Transition</t>
  </si>
  <si>
    <t>Operations Plans</t>
  </si>
  <si>
    <t>Operations Handover</t>
  </si>
  <si>
    <t>9.2.1</t>
  </si>
  <si>
    <t>Operations Personnel Training</t>
  </si>
  <si>
    <t>9.2.2</t>
  </si>
  <si>
    <t>Documentation &amp; Spares Transition</t>
  </si>
  <si>
    <t>Contingency (22%)</t>
  </si>
  <si>
    <t>Added Contingency (25% total)</t>
  </si>
  <si>
    <r>
      <t xml:space="preserve">Spatial sampling ≤ Nyquist at each observing wavelength. [SCRD §2.5.6.4]  Pixel sampling of </t>
    </r>
    <r>
      <rPr>
        <sz val="12"/>
        <color indexed="8"/>
        <rFont val="Symbol"/>
        <family val="1"/>
      </rPr>
      <t>l</t>
    </r>
    <r>
      <rPr>
        <sz val="12"/>
        <color indexed="8"/>
        <rFont val="Times New Roman"/>
        <family val="1"/>
      </rPr>
      <t>/3D optimal for photometry and astrometry [KAON 529].</t>
    </r>
  </si>
  <si>
    <r>
      <t xml:space="preserve">Spatial sampling ≤ Nyquist at the observing wavelength.  Pixel sampling of </t>
    </r>
    <r>
      <rPr>
        <sz val="12"/>
        <color indexed="8"/>
        <rFont val="Symbol"/>
        <family val="1"/>
      </rPr>
      <t>l</t>
    </r>
    <r>
      <rPr>
        <sz val="12"/>
        <color indexed="8"/>
        <rFont val="Times New Roman"/>
        <family val="1"/>
      </rPr>
      <t xml:space="preserve">/3D is optimal at J through H-bands, and </t>
    </r>
    <r>
      <rPr>
        <sz val="12"/>
        <color indexed="8"/>
        <rFont val="Symbol"/>
        <family val="1"/>
      </rPr>
      <t>l</t>
    </r>
    <r>
      <rPr>
        <sz val="12"/>
        <color indexed="8"/>
        <rFont val="Times New Roman"/>
        <family val="1"/>
      </rPr>
      <t>/2D at I through z-band for both photometry and astrometry [see KAON 529].</t>
    </r>
  </si>
  <si>
    <t>Field of view ≥ 3” diameter [SCRD §2.5.6.2]</t>
  </si>
  <si>
    <t>AO system passes a &gt;3” unvignetted field of view</t>
  </si>
  <si>
    <t>Imager fields of view ≥ 3”</t>
  </si>
  <si>
    <t>The following observing preparation tools are required: guide star finder for asteroids too faint to use as the only TT star, PSF simulation as function of wavelength and seeing conditions.</t>
  </si>
  <si>
    <t>The following data products are required: Access to archive with proper identification in World Coordinate System (to within 1 arc sec or better) and with associated calibrated PSF.</t>
  </si>
  <si>
    <t xml:space="preserve">Calibrated PSF capability.  Accuracy requirement will be discussed in future releases of the SCRD document.  Ability to collect AO telemetry data to support the required PSF calibration.  </t>
  </si>
  <si>
    <t>FITS header system capable of handling non-sidereal offsets in reporting object coordinates in the World Coordinate System to within 1 arc sec or better.</t>
  </si>
  <si>
    <t>Observing requirements: Observer present either in person or via remote observing rooms, because real-time observing sequence determination is needed.</t>
  </si>
  <si>
    <t xml:space="preserve">Classical observing mode or service mode with active observer participation.  Remote observing capabilities must allow frequent real-time decisions by observer. </t>
  </si>
  <si>
    <t>Asteroid Companions Orbit Determination</t>
  </si>
  <si>
    <t>Companion sensitivity in the near-IR. Same as #5.1</t>
  </si>
  <si>
    <t>Same as #5.1</t>
  </si>
  <si>
    <t>Near-IR imager.</t>
  </si>
  <si>
    <r>
      <t xml:space="preserve">The </t>
    </r>
    <r>
      <rPr>
        <i/>
        <sz val="12"/>
        <rFont val="Times New Roman"/>
        <family val="1"/>
      </rPr>
      <t xml:space="preserve">companion sensitivity in the visible </t>
    </r>
    <r>
      <rPr>
        <sz val="12"/>
        <rFont val="Times New Roman"/>
        <family val="1"/>
      </rPr>
      <t xml:space="preserve">shall be </t>
    </r>
    <r>
      <rPr>
        <sz val="12"/>
        <rFont val="Symbol"/>
        <family val="1"/>
      </rPr>
      <t>Ä</t>
    </r>
    <r>
      <rPr>
        <sz val="12"/>
        <rFont val="Times New Roman"/>
        <family val="1"/>
      </rPr>
      <t>I ≥ 7.5 mag at 0.75” separation for a V ≤ 17 (I ≤ 16.1) asteroid (asteroid size &lt; 0.2”) with a proper motion of ≤ 50 arcsec/hour [ScRD §2.5.4.6]</t>
    </r>
  </si>
  <si>
    <t>Visible Imager.  Optimum visible wavelength is I through z bands per KAON 529.  Note that if the near-IR imager extends down to I band, a separate visible imager would not be needed for this science case.</t>
  </si>
  <si>
    <r>
      <t>Photometric accuracy</t>
    </r>
    <r>
      <rPr>
        <sz val="12"/>
        <rFont val="Times New Roman"/>
        <family val="1"/>
      </rPr>
      <t>: Same as #5.2</t>
    </r>
  </si>
  <si>
    <t>Same as #5.2</t>
  </si>
  <si>
    <r>
      <t xml:space="preserve">I-band relative </t>
    </r>
    <r>
      <rPr>
        <i/>
        <sz val="12"/>
        <rFont val="Times New Roman"/>
        <family val="1"/>
      </rPr>
      <t>astrometric</t>
    </r>
    <r>
      <rPr>
        <sz val="12"/>
        <rFont val="Times New Roman"/>
        <family val="1"/>
      </rPr>
      <t xml:space="preserve"> accuracy of ≤ 1.5 mas for a V ≤ 17 (J ≤ 15.9) asteroid (asteroid size &lt; 0.2”) with a proper motion of ≤ 50 arcsec/hour [SCRD §2.5.4.5]</t>
    </r>
  </si>
  <si>
    <t>Non-sidereal tracking accuracy sufficiently small to achieve I-band astrometric accuracy ≤ 1.5 mas for a V ≤ 17 (J ≤ 15.9) asteroid with a proper motion of ≤ 50 arcsec/hour</t>
  </si>
  <si>
    <r>
      <t xml:space="preserve">Uncalibrated detector </t>
    </r>
    <r>
      <rPr>
        <i/>
        <sz val="12"/>
        <rFont val="Times New Roman"/>
        <family val="1"/>
      </rPr>
      <t>distortion</t>
    </r>
    <r>
      <rPr>
        <sz val="12"/>
        <rFont val="Times New Roman"/>
        <family val="1"/>
      </rPr>
      <t xml:space="preserve"> sufficiently small to achieve I-band astrometric accuracy ≤ 1.5 mas for a V ≤ 17 (J ≤ 15.9) asteroid</t>
    </r>
  </si>
  <si>
    <t>Target sample size of ≥ 100 asteroids in ≤ 3 years. [SCRD §2.5.3 ¶4]  Leads to requirement of ≥ 25 targets in an 11 hour night. [SCRD §2.5.5.2]</t>
  </si>
  <si>
    <t>Needs high observing efficiency: Able to slew to new target and complete the entire observation within 25 minutes on average.  Will generally only observe at one wavelength (the one that gives the best astrometric information).</t>
  </si>
  <si>
    <t>Observing wavelengths =  I, z, J, H bands. (Note: R-band may become a future requirement if R-band Strehl &gt; 15%) [SCRD §2.5.6.6]</t>
  </si>
  <si>
    <t>Imager(s) covering range I, z, J, H bands.  Note that if the near-IR imager extends down to I band, a separate visible imager would not be needed for this science case.</t>
  </si>
  <si>
    <t>Spatial sampling same as #5.5</t>
  </si>
  <si>
    <t>Same as #5.5</t>
  </si>
  <si>
    <t>Same as #5.6</t>
  </si>
  <si>
    <t>Same as #5.7</t>
  </si>
  <si>
    <t>Same as #5.8</t>
  </si>
  <si>
    <t>See #5.8</t>
  </si>
  <si>
    <t>Observing requirements: 7 epochs per target [SCRD §2.5.3 ¶4]</t>
  </si>
  <si>
    <t>Observing model needs to accommodate split nights or some level of flexibility.</t>
  </si>
  <si>
    <t>6.10</t>
  </si>
  <si>
    <t>QSO Host galaxies</t>
  </si>
  <si>
    <t>Sky coverage fraction &gt;30% for 50% enclosed energy within 0.05 arc sec at J band</t>
  </si>
  <si>
    <t>Assume lasers are on the elevation moving part of the telescope</t>
  </si>
  <si>
    <t>Can't afford within build-to-cost.
Extend NIR imager coverage down to 850 nm.</t>
  </si>
  <si>
    <t>Savings in project management &amp; systems engineering</t>
  </si>
  <si>
    <t>The above savings amount to an ~ $4M cost reduction on the NGAO system or ~7.5% of the cost.
It might be reasonable to assume we can reduce the management &amp; systems engineering costs at some level due to the resulting reduced complexity.</t>
  </si>
  <si>
    <t>Spectroscopic &amp; imaging observing wavelengths = J,H &amp; K (to 2.4mm).
z&amp;Y are of interest as well; the importance of including these bands is being assessed.
[SCRD §2.1.4, §2.1.5.3]</t>
  </si>
  <si>
    <t>AO system must transmit J, H, and K bands</t>
  </si>
  <si>
    <t>Narrow field imaging: diffraction limited at J, H, K
[SCRD §2.1.5.3]</t>
  </si>
  <si>
    <t>Spectral resolution = 3000 to 4000
[SCRD §2.1.5.1, §2.1.5.3]</t>
  </si>
  <si>
    <t>Encircled energy at least 50% in 70 mas for sky coverage of 30% (see 1.11)
[SCRD §2.1.5.2]</t>
  </si>
  <si>
    <t>IFU field of view ≥ 1” x 3” in order to allow sky background measurement at same time as observing a ~1” galaxy
[SCRD §2.1.5.1]</t>
  </si>
  <si>
    <t>Simultaneous sky background measurements within a radius of 3” with the same field of view as the science field
[SCRD §2.1.5.1]</t>
  </si>
  <si>
    <t>1.10</t>
  </si>
  <si>
    <t>Sky coverage ≥30% at 170 nm wavefront error, to overlap with data sets from other instruments and telescopes [SCRD §2.1.5.2]</t>
  </si>
  <si>
    <t>The following data products are required: calibrated spectral data cube [SCRD §2.1.5.3]</t>
  </si>
  <si>
    <t>Sufficiently high throughput and low emissivity of the AO system science path to achieve this sensitivity.
Background due to emissivity less than 30% of unattenuated (sky + telescope). [SCRD §2.1.5.1 and SCRD Figure 1]</t>
  </si>
  <si>
    <t>Nearby AGNs</t>
  </si>
  <si>
    <t>Number of targets required: to be specified in future versions of the SCRD</t>
  </si>
  <si>
    <t>50% enclosed energy radius &lt; ½ gravitational sphere of influence. Wavefront error requirement to be specified in future versions of this document.</t>
  </si>
  <si>
    <t>Spectral and imaging pixels/spaxels &lt; ½ gravitational sphere of influence (in the spatial dimension)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</si>
</sst>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_(&quot;$&quot;* #,##0.0_);_(&quot;$&quot;* \(#,##0.0\);_(&quot;$&quot;* &quot;-&quot;?_);_(@_)"/>
    <numFmt numFmtId="171" formatCode="0.0%"/>
    <numFmt numFmtId="172" formatCode="&quot;$&quot;#,##0"/>
    <numFmt numFmtId="173" formatCode="#,##0.000000"/>
    <numFmt numFmtId="174" formatCode="0.000"/>
  </numFmts>
  <fonts count="39">
    <font>
      <sz val="10"/>
      <name val="Arial"/>
      <family val="0"/>
    </font>
    <font>
      <sz val="8"/>
      <name val="Arial"/>
      <family val="0"/>
    </font>
    <font>
      <u val="single"/>
      <sz val="10"/>
      <color indexed="36"/>
      <name val="Arial"/>
      <family val="0"/>
    </font>
    <font>
      <u val="single"/>
      <sz val="10"/>
      <color indexed="12"/>
      <name val="Arial"/>
      <family val="0"/>
    </font>
    <font>
      <sz val="10"/>
      <color indexed="8"/>
      <name val="Arial"/>
      <family val="2"/>
    </font>
    <font>
      <b/>
      <sz val="10"/>
      <name val="Arial"/>
      <family val="0"/>
    </font>
    <font>
      <b/>
      <sz val="10"/>
      <color indexed="8"/>
      <name val="Arial"/>
      <family val="0"/>
    </font>
    <font>
      <sz val="12"/>
      <name val="Times New Roman"/>
      <family val="1"/>
    </font>
    <font>
      <i/>
      <sz val="12"/>
      <name val="Times New Roman"/>
      <family val="1"/>
    </font>
    <font>
      <vertAlign val="superscript"/>
      <sz val="12"/>
      <name val="Times New Roman"/>
      <family val="1"/>
    </font>
    <font>
      <b/>
      <sz val="12"/>
      <name val="Times New Roman"/>
      <family val="1"/>
    </font>
    <font>
      <b/>
      <i/>
      <sz val="12"/>
      <name val="Times New Roman"/>
      <family val="1"/>
    </font>
    <font>
      <vertAlign val="subscript"/>
      <sz val="12"/>
      <name val="Times New Roman"/>
      <family val="1"/>
    </font>
    <font>
      <sz val="12"/>
      <name val="Symbol"/>
      <family val="1"/>
    </font>
    <font>
      <sz val="12"/>
      <name val="MS Mincho"/>
      <family val="3"/>
    </font>
    <font>
      <sz val="12"/>
      <color indexed="8"/>
      <name val="Times New Roman"/>
      <family val="1"/>
    </font>
    <font>
      <i/>
      <sz val="12"/>
      <color indexed="8"/>
      <name val="Times New Roman"/>
      <family val="1"/>
    </font>
    <font>
      <sz val="12"/>
      <color indexed="8"/>
      <name val="Symbol"/>
      <family val="1"/>
    </font>
    <font>
      <b/>
      <i/>
      <sz val="10"/>
      <name val="Arial"/>
      <family val="2"/>
    </font>
    <font>
      <i/>
      <sz val="10"/>
      <name val="Arial"/>
      <family val="0"/>
    </font>
    <font>
      <sz val="8"/>
      <name val="Tahoma"/>
      <family val="0"/>
    </font>
    <font>
      <b/>
      <sz val="8"/>
      <name val="Tahoma"/>
      <family val="0"/>
    </font>
    <font>
      <sz val="8.25"/>
      <name val="Arial"/>
      <family val="0"/>
    </font>
    <font>
      <b/>
      <sz val="9.75"/>
      <name val="Arial"/>
      <family val="0"/>
    </font>
    <font>
      <b/>
      <sz val="8"/>
      <name val="Arial"/>
      <family val="0"/>
    </font>
    <font>
      <strike/>
      <sz val="10"/>
      <name val="Arial"/>
      <family val="2"/>
    </font>
    <font>
      <i/>
      <sz val="10"/>
      <color indexed="18"/>
      <name val="Arial"/>
      <family val="2"/>
    </font>
    <font>
      <sz val="10"/>
      <color indexed="18"/>
      <name val="Arial"/>
      <family val="2"/>
    </font>
    <font>
      <sz val="8.5"/>
      <name val="Arial"/>
      <family val="0"/>
    </font>
    <font>
      <b/>
      <sz val="8.5"/>
      <name val="Arial"/>
      <family val="0"/>
    </font>
    <font>
      <b/>
      <sz val="10"/>
      <name val="Times New Roman"/>
      <family val="1"/>
    </font>
    <font>
      <sz val="10"/>
      <name val="Times New Roman"/>
      <family val="1"/>
    </font>
    <font>
      <b/>
      <u val="single"/>
      <sz val="10"/>
      <name val="Times New Roman"/>
      <family val="1"/>
    </font>
    <font>
      <sz val="10"/>
      <color indexed="10"/>
      <name val="Arial"/>
      <family val="0"/>
    </font>
    <font>
      <b/>
      <sz val="10.5"/>
      <name val="Arial"/>
      <family val="0"/>
    </font>
    <font>
      <b/>
      <sz val="8.75"/>
      <name val="Arial"/>
      <family val="0"/>
    </font>
    <font>
      <sz val="8.75"/>
      <name val="Arial"/>
      <family val="0"/>
    </font>
    <font>
      <sz val="8"/>
      <name val="Times New Roman"/>
      <family val="1"/>
    </font>
    <font>
      <sz val="6"/>
      <name val="Times New Roman"/>
      <family val="1"/>
    </font>
  </fonts>
  <fills count="11">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style="thin"/>
    </border>
    <border>
      <left style="double"/>
      <right style="thin"/>
      <top>
        <color indexed="63"/>
      </top>
      <bottom style="thin"/>
    </border>
    <border>
      <left style="double"/>
      <right style="thin"/>
      <top>
        <color indexed="63"/>
      </top>
      <bottom>
        <color indexed="63"/>
      </bottom>
    </border>
    <border>
      <left style="double"/>
      <right>
        <color indexed="63"/>
      </right>
      <top>
        <color indexed="63"/>
      </top>
      <bottom style="thin"/>
    </border>
    <border>
      <left style="double"/>
      <right>
        <color indexed="63"/>
      </right>
      <top>
        <color indexed="63"/>
      </top>
      <bottom>
        <color indexed="63"/>
      </bottom>
    </border>
    <border>
      <left style="double"/>
      <right>
        <color indexed="63"/>
      </right>
      <top style="thin"/>
      <bottom style="thin"/>
    </border>
    <border>
      <left style="double"/>
      <right style="thin"/>
      <top style="thin"/>
      <bottom style="thin"/>
    </border>
    <border>
      <left>
        <color indexed="63"/>
      </left>
      <right style="double"/>
      <top>
        <color indexed="63"/>
      </top>
      <bottom>
        <color indexed="63"/>
      </bottom>
    </border>
    <border>
      <left style="thin"/>
      <right style="double"/>
      <top>
        <color indexed="63"/>
      </top>
      <bottom style="thin"/>
    </border>
    <border>
      <left style="thin"/>
      <right style="double"/>
      <top>
        <color indexed="63"/>
      </top>
      <bottom>
        <color indexed="63"/>
      </bottom>
    </border>
    <border>
      <left style="thin"/>
      <right style="double"/>
      <top style="thin"/>
      <bottom style="thin"/>
    </border>
    <border>
      <left style="double"/>
      <right style="double"/>
      <top>
        <color indexed="63"/>
      </top>
      <bottom style="thin"/>
    </border>
    <border>
      <left style="double"/>
      <right style="double"/>
      <top>
        <color indexed="63"/>
      </top>
      <bottom>
        <color indexed="63"/>
      </bottom>
    </border>
    <border>
      <left style="double"/>
      <right style="double"/>
      <top style="thin"/>
      <bottom style="thin"/>
    </border>
    <border>
      <left style="thin"/>
      <right style="thin"/>
      <top style="thin"/>
      <bottom style="thin"/>
    </border>
    <border>
      <left>
        <color indexed="63"/>
      </left>
      <right style="double"/>
      <top>
        <color indexed="63"/>
      </top>
      <bottom style="double"/>
    </border>
    <border>
      <left style="double"/>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double"/>
      <top style="thin"/>
      <bottom>
        <color indexed="63"/>
      </bottom>
    </border>
    <border>
      <left>
        <color indexed="63"/>
      </left>
      <right style="double"/>
      <top>
        <color indexed="63"/>
      </top>
      <bottom style="thin"/>
    </border>
    <border>
      <left>
        <color indexed="63"/>
      </left>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318">
    <xf numFmtId="0" fontId="0" fillId="0" borderId="0" xfId="0" applyAlignment="1">
      <alignment/>
    </xf>
    <xf numFmtId="0" fontId="0" fillId="0" borderId="0" xfId="0" applyAlignment="1">
      <alignment horizontal="center"/>
    </xf>
    <xf numFmtId="0" fontId="0" fillId="0" borderId="0" xfId="0" applyAlignment="1">
      <alignment wrapText="1"/>
    </xf>
    <xf numFmtId="0" fontId="5" fillId="0" borderId="0" xfId="0" applyFont="1" applyFill="1" applyBorder="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xf>
    <xf numFmtId="0" fontId="6" fillId="2" borderId="0" xfId="21" applyFont="1" applyFill="1" applyBorder="1" applyAlignment="1">
      <alignment/>
      <protection/>
    </xf>
    <xf numFmtId="0" fontId="6" fillId="3" borderId="0" xfId="21" applyFont="1" applyFill="1" applyBorder="1" applyAlignment="1">
      <alignment/>
      <protection/>
    </xf>
    <xf numFmtId="0" fontId="0" fillId="2" borderId="0" xfId="0" applyFill="1" applyAlignment="1">
      <alignment/>
    </xf>
    <xf numFmtId="9" fontId="0" fillId="2" borderId="0" xfId="22" applyFill="1" applyAlignment="1">
      <alignment/>
    </xf>
    <xf numFmtId="1" fontId="5" fillId="2" borderId="0" xfId="0" applyNumberFormat="1" applyFont="1" applyFill="1" applyAlignment="1">
      <alignment/>
    </xf>
    <xf numFmtId="0" fontId="4" fillId="0" borderId="0" xfId="21" applyFont="1" applyFill="1" applyBorder="1" applyAlignment="1">
      <alignment/>
      <protection/>
    </xf>
    <xf numFmtId="1" fontId="0" fillId="0" borderId="0" xfId="0" applyNumberFormat="1" applyFill="1" applyAlignment="1">
      <alignment/>
    </xf>
    <xf numFmtId="164" fontId="0" fillId="0" borderId="0" xfId="0" applyNumberFormat="1" applyFill="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4" fillId="0" borderId="0" xfId="21" applyFont="1" applyFill="1" applyBorder="1" applyAlignment="1">
      <alignment/>
      <protection/>
    </xf>
    <xf numFmtId="1" fontId="0" fillId="0" borderId="0" xfId="0" applyNumberFormat="1" applyAlignment="1">
      <alignment/>
    </xf>
    <xf numFmtId="164" fontId="0" fillId="0" borderId="0" xfId="0" applyNumberFormat="1" applyAlignment="1">
      <alignment/>
    </xf>
    <xf numFmtId="9" fontId="0" fillId="0" borderId="0" xfId="0" applyNumberFormat="1" applyAlignment="1">
      <alignment/>
    </xf>
    <xf numFmtId="0" fontId="4" fillId="0" borderId="0" xfId="21" applyFont="1" applyFill="1" applyBorder="1" applyAlignment="1">
      <alignment horizontal="right"/>
      <protection/>
    </xf>
    <xf numFmtId="0" fontId="4" fillId="0" borderId="0" xfId="21" applyFont="1" applyFill="1" applyBorder="1" applyAlignment="1" quotePrefix="1">
      <alignment horizontal="right"/>
      <protection/>
    </xf>
    <xf numFmtId="0" fontId="5" fillId="2"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0" fontId="6" fillId="0" borderId="0" xfId="21" applyFont="1" applyFill="1" applyBorder="1" applyAlignment="1">
      <alignment horizontal="right"/>
      <protection/>
    </xf>
    <xf numFmtId="9" fontId="5" fillId="2" borderId="0" xfId="22" applyFont="1" applyFill="1" applyAlignment="1">
      <alignment/>
    </xf>
    <xf numFmtId="0" fontId="10" fillId="0" borderId="0" xfId="0" applyFont="1" applyBorder="1" applyAlignment="1">
      <alignment horizontal="center" vertical="top" wrapText="1"/>
    </xf>
    <xf numFmtId="0" fontId="11" fillId="0" borderId="0" xfId="0" applyFont="1" applyBorder="1" applyAlignment="1">
      <alignment horizontal="center" vertical="top" wrapText="1"/>
    </xf>
    <xf numFmtId="0" fontId="7" fillId="0" borderId="0" xfId="0" applyFont="1" applyBorder="1" applyAlignment="1">
      <alignment horizontal="justify" vertical="top" wrapText="1"/>
    </xf>
    <xf numFmtId="0" fontId="8"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xf>
    <xf numFmtId="0" fontId="7" fillId="0" borderId="0" xfId="0" applyFont="1" applyBorder="1" applyAlignment="1" quotePrefix="1">
      <alignment horizontal="justify" vertical="top" wrapText="1"/>
    </xf>
    <xf numFmtId="2" fontId="7" fillId="0" borderId="0" xfId="0" applyNumberFormat="1" applyFont="1" applyBorder="1" applyAlignment="1">
      <alignment horizontal="justify" vertical="top" wrapText="1"/>
    </xf>
    <xf numFmtId="0" fontId="5" fillId="0" borderId="0" xfId="0" applyFont="1" applyAlignment="1">
      <alignment/>
    </xf>
    <xf numFmtId="0" fontId="7" fillId="0" borderId="0" xfId="0" applyFont="1" applyBorder="1" applyAlignment="1">
      <alignment vertical="top" wrapText="1"/>
    </xf>
    <xf numFmtId="0" fontId="0" fillId="0" borderId="0" xfId="0" applyBorder="1" applyAlignment="1">
      <alignment/>
    </xf>
    <xf numFmtId="0" fontId="10" fillId="0" borderId="0" xfId="0" applyFont="1" applyFill="1" applyBorder="1" applyAlignment="1">
      <alignment horizontal="left" vertical="top"/>
    </xf>
    <xf numFmtId="2" fontId="7" fillId="0" borderId="0" xfId="0" applyNumberFormat="1" applyFont="1" applyBorder="1" applyAlignment="1">
      <alignment horizontal="left" vertical="top" wrapText="1"/>
    </xf>
    <xf numFmtId="0" fontId="7" fillId="0" borderId="0" xfId="0" applyFont="1" applyBorder="1" applyAlignment="1" quotePrefix="1">
      <alignment horizontal="left" vertical="top" wrapText="1"/>
    </xf>
    <xf numFmtId="1" fontId="10" fillId="0" borderId="0" xfId="0" applyNumberFormat="1" applyFont="1" applyFill="1" applyBorder="1" applyAlignment="1">
      <alignment horizontal="left" vertical="top" wrapText="1"/>
    </xf>
    <xf numFmtId="0" fontId="15" fillId="0" borderId="0" xfId="0" applyFont="1" applyBorder="1" applyAlignment="1">
      <alignment horizontal="justify" vertical="top" wrapText="1"/>
    </xf>
    <xf numFmtId="0" fontId="15" fillId="0" borderId="0" xfId="0" applyFont="1" applyBorder="1" applyAlignment="1">
      <alignment horizontal="left" vertical="top" wrapText="1"/>
    </xf>
    <xf numFmtId="0" fontId="10" fillId="0" borderId="0" xfId="0" applyFont="1" applyFill="1" applyBorder="1" applyAlignment="1">
      <alignment horizontal="center" vertical="top" wrapText="1"/>
    </xf>
    <xf numFmtId="0" fontId="5" fillId="0" borderId="0" xfId="0" applyFont="1" applyAlignment="1">
      <alignment wrapText="1"/>
    </xf>
    <xf numFmtId="0" fontId="5" fillId="0" borderId="0" xfId="0" applyFont="1" applyAlignment="1">
      <alignment wrapText="1"/>
    </xf>
    <xf numFmtId="0" fontId="11" fillId="0" borderId="0" xfId="0" applyFont="1" applyFill="1" applyBorder="1" applyAlignment="1">
      <alignment vertical="top"/>
    </xf>
    <xf numFmtId="0" fontId="11" fillId="0" borderId="0" xfId="0" applyFont="1" applyFill="1" applyBorder="1" applyAlignment="1">
      <alignment horizontal="left" vertical="top" wrapText="1"/>
    </xf>
    <xf numFmtId="0" fontId="18" fillId="0" borderId="0" xfId="0" applyFont="1" applyBorder="1" applyAlignment="1">
      <alignment horizontal="center"/>
    </xf>
    <xf numFmtId="0" fontId="11" fillId="0" borderId="0" xfId="0" applyFont="1" applyFill="1" applyBorder="1" applyAlignment="1">
      <alignment horizontal="left" vertical="top"/>
    </xf>
    <xf numFmtId="1" fontId="11" fillId="0" borderId="0" xfId="0" applyNumberFormat="1" applyFont="1" applyFill="1" applyBorder="1" applyAlignment="1">
      <alignment horizontal="left" vertical="top" wrapText="1"/>
    </xf>
    <xf numFmtId="0" fontId="19" fillId="0" borderId="0" xfId="0" applyFont="1" applyBorder="1" applyAlignment="1">
      <alignment/>
    </xf>
    <xf numFmtId="0" fontId="19" fillId="0" borderId="0" xfId="0" applyFont="1" applyAlignment="1">
      <alignment wrapText="1"/>
    </xf>
    <xf numFmtId="0" fontId="19" fillId="0" borderId="0" xfId="0" applyFont="1" applyAlignment="1">
      <alignment/>
    </xf>
    <xf numFmtId="0" fontId="18" fillId="0" borderId="0" xfId="0" applyFont="1" applyBorder="1" applyAlignment="1">
      <alignment/>
    </xf>
    <xf numFmtId="0" fontId="18" fillId="0" borderId="0" xfId="0" applyFont="1" applyAlignment="1">
      <alignment wrapText="1"/>
    </xf>
    <xf numFmtId="0" fontId="18" fillId="0" borderId="0" xfId="0" applyFont="1" applyAlignment="1">
      <alignment/>
    </xf>
    <xf numFmtId="0" fontId="11" fillId="0" borderId="0" xfId="0" applyFont="1" applyFill="1" applyBorder="1" applyAlignment="1">
      <alignment vertical="top" wrapText="1"/>
    </xf>
    <xf numFmtId="1" fontId="11" fillId="0" borderId="0" xfId="0" applyNumberFormat="1" applyFont="1" applyFill="1" applyBorder="1" applyAlignment="1">
      <alignment horizontal="justify" vertical="top" wrapText="1"/>
    </xf>
    <xf numFmtId="0" fontId="11" fillId="0" borderId="0" xfId="0" applyFont="1" applyBorder="1" applyAlignment="1">
      <alignment horizontal="justify" vertical="top" wrapText="1"/>
    </xf>
    <xf numFmtId="0" fontId="5" fillId="0" borderId="0" xfId="0" applyFont="1" applyAlignment="1">
      <alignment horizontal="center"/>
    </xf>
    <xf numFmtId="0" fontId="5" fillId="0" borderId="0" xfId="0" applyFont="1" applyAlignment="1">
      <alignment/>
    </xf>
    <xf numFmtId="42" fontId="0" fillId="0" borderId="0" xfId="0" applyNumberFormat="1" applyAlignment="1">
      <alignment/>
    </xf>
    <xf numFmtId="0" fontId="0" fillId="0" borderId="1" xfId="0" applyBorder="1" applyAlignment="1">
      <alignment/>
    </xf>
    <xf numFmtId="0" fontId="5" fillId="0" borderId="1" xfId="0" applyFont="1" applyBorder="1" applyAlignment="1">
      <alignment/>
    </xf>
    <xf numFmtId="42" fontId="0" fillId="0" borderId="1" xfId="0" applyNumberFormat="1" applyBorder="1" applyAlignment="1">
      <alignment/>
    </xf>
    <xf numFmtId="0" fontId="5" fillId="0" borderId="2" xfId="0" applyFont="1" applyBorder="1" applyAlignment="1">
      <alignment/>
    </xf>
    <xf numFmtId="0" fontId="0" fillId="0" borderId="2" xfId="0" applyBorder="1" applyAlignment="1">
      <alignment/>
    </xf>
    <xf numFmtId="42" fontId="0" fillId="0" borderId="2"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xf>
    <xf numFmtId="42" fontId="0" fillId="0" borderId="0" xfId="0" applyNumberFormat="1" applyBorder="1" applyAlignment="1">
      <alignment/>
    </xf>
    <xf numFmtId="0" fontId="0" fillId="0" borderId="9" xfId="0" applyBorder="1" applyAlignment="1">
      <alignment/>
    </xf>
    <xf numFmtId="0" fontId="5" fillId="0" borderId="0" xfId="0" applyFont="1" applyBorder="1" applyAlignment="1">
      <alignment/>
    </xf>
    <xf numFmtId="0" fontId="0" fillId="4" borderId="6" xfId="0" applyFill="1" applyBorder="1" applyAlignment="1">
      <alignment/>
    </xf>
    <xf numFmtId="0" fontId="0" fillId="4" borderId="9" xfId="0" applyFill="1" applyBorder="1" applyAlignment="1">
      <alignment/>
    </xf>
    <xf numFmtId="0" fontId="0" fillId="5" borderId="6" xfId="0" applyFill="1" applyBorder="1" applyAlignment="1">
      <alignment/>
    </xf>
    <xf numFmtId="0" fontId="0" fillId="5" borderId="9" xfId="0" applyFill="1" applyBorder="1" applyAlignment="1">
      <alignment/>
    </xf>
    <xf numFmtId="0" fontId="0" fillId="6" borderId="6" xfId="0" applyFill="1" applyBorder="1" applyAlignment="1">
      <alignment/>
    </xf>
    <xf numFmtId="0" fontId="0" fillId="6" borderId="9" xfId="0" applyFill="1" applyBorder="1" applyAlignment="1">
      <alignment/>
    </xf>
    <xf numFmtId="0" fontId="0" fillId="0" borderId="10" xfId="0" applyBorder="1" applyAlignment="1">
      <alignment/>
    </xf>
    <xf numFmtId="42" fontId="0" fillId="0" borderId="11" xfId="0" applyNumberFormat="1" applyBorder="1" applyAlignment="1">
      <alignment/>
    </xf>
    <xf numFmtId="42" fontId="0" fillId="0" borderId="10" xfId="0" applyNumberFormat="1" applyBorder="1" applyAlignment="1">
      <alignment/>
    </xf>
    <xf numFmtId="4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5" xfId="0" applyBorder="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5" fillId="0" borderId="0" xfId="0" applyFont="1" applyAlignment="1">
      <alignment/>
    </xf>
    <xf numFmtId="14" fontId="0" fillId="0" borderId="0" xfId="0" applyNumberFormat="1" applyAlignment="1">
      <alignment/>
    </xf>
    <xf numFmtId="0" fontId="5" fillId="0" borderId="0" xfId="0" applyFont="1" applyAlignment="1">
      <alignment horizontal="right"/>
    </xf>
    <xf numFmtId="1" fontId="5" fillId="0" borderId="0" xfId="0" applyNumberFormat="1" applyFont="1" applyAlignment="1">
      <alignment/>
    </xf>
    <xf numFmtId="0" fontId="0" fillId="0" borderId="0" xfId="0" applyAlignment="1">
      <alignment horizontal="right" wrapText="1"/>
    </xf>
    <xf numFmtId="164" fontId="0" fillId="0" borderId="0" xfId="0" applyNumberFormat="1" applyAlignment="1">
      <alignment wrapText="1"/>
    </xf>
    <xf numFmtId="0" fontId="0" fillId="0" borderId="0" xfId="0" applyFill="1" applyAlignment="1">
      <alignment wrapText="1"/>
    </xf>
    <xf numFmtId="0" fontId="5" fillId="0" borderId="0" xfId="0" applyFont="1" applyAlignment="1">
      <alignment horizontal="right" wrapText="1"/>
    </xf>
    <xf numFmtId="164" fontId="5" fillId="0" borderId="0" xfId="0" applyNumberFormat="1" applyFont="1" applyAlignment="1">
      <alignment wrapText="1"/>
    </xf>
    <xf numFmtId="0" fontId="0" fillId="2" borderId="0" xfId="0" applyFill="1" applyAlignment="1">
      <alignment horizontal="center"/>
    </xf>
    <xf numFmtId="0" fontId="0" fillId="2" borderId="0" xfId="0" applyFill="1" applyAlignment="1">
      <alignment wrapText="1"/>
    </xf>
    <xf numFmtId="164" fontId="0" fillId="2" borderId="0" xfId="0" applyNumberFormat="1" applyFill="1" applyAlignment="1">
      <alignment wrapText="1"/>
    </xf>
    <xf numFmtId="0" fontId="0" fillId="0" borderId="0" xfId="0" applyAlignment="1">
      <alignment/>
    </xf>
    <xf numFmtId="171" fontId="0" fillId="0" borderId="0" xfId="0" applyNumberFormat="1" applyAlignment="1">
      <alignment/>
    </xf>
    <xf numFmtId="0" fontId="0" fillId="0" borderId="0" xfId="0" applyFont="1" applyAlignment="1">
      <alignment wrapText="1"/>
    </xf>
    <xf numFmtId="0" fontId="0" fillId="0" borderId="16" xfId="0" applyBorder="1" applyAlignment="1">
      <alignment/>
    </xf>
    <xf numFmtId="0" fontId="5" fillId="0" borderId="16" xfId="0" applyFont="1" applyBorder="1" applyAlignment="1">
      <alignment wrapText="1"/>
    </xf>
    <xf numFmtId="0" fontId="0" fillId="0" borderId="16" xfId="0" applyBorder="1" applyAlignment="1">
      <alignment horizontal="center"/>
    </xf>
    <xf numFmtId="0" fontId="0" fillId="0" borderId="16" xfId="0" applyBorder="1" applyAlignment="1">
      <alignment wrapText="1"/>
    </xf>
    <xf numFmtId="0" fontId="5" fillId="0" borderId="16" xfId="0" applyFont="1" applyBorder="1" applyAlignment="1">
      <alignment horizontal="center"/>
    </xf>
    <xf numFmtId="0" fontId="0" fillId="0" borderId="16" xfId="0" applyBorder="1" applyAlignment="1">
      <alignment horizontal="left"/>
    </xf>
    <xf numFmtId="0" fontId="0" fillId="0" borderId="16" xfId="0" applyBorder="1" applyAlignment="1">
      <alignment horizontal="center" wrapText="1"/>
    </xf>
    <xf numFmtId="0" fontId="5" fillId="0" borderId="16" xfId="0" applyFont="1" applyBorder="1" applyAlignment="1">
      <alignment horizontal="center" wrapText="1"/>
    </xf>
    <xf numFmtId="164" fontId="5" fillId="0" borderId="16" xfId="0" applyNumberFormat="1" applyFont="1" applyBorder="1" applyAlignment="1">
      <alignment horizontal="center"/>
    </xf>
    <xf numFmtId="164" fontId="0" fillId="0" borderId="16" xfId="0" applyNumberFormat="1" applyBorder="1" applyAlignment="1">
      <alignment horizontal="center"/>
    </xf>
    <xf numFmtId="0" fontId="0" fillId="7" borderId="16" xfId="0" applyFill="1" applyBorder="1" applyAlignment="1">
      <alignment/>
    </xf>
    <xf numFmtId="0" fontId="0" fillId="5" borderId="16" xfId="0" applyFill="1" applyBorder="1" applyAlignment="1">
      <alignment/>
    </xf>
    <xf numFmtId="3" fontId="30" fillId="0" borderId="0" xfId="0" applyNumberFormat="1" applyFont="1" applyAlignment="1">
      <alignment/>
    </xf>
    <xf numFmtId="3" fontId="31" fillId="0" borderId="0" xfId="0" applyNumberFormat="1" applyFont="1" applyAlignment="1">
      <alignment/>
    </xf>
    <xf numFmtId="3" fontId="32" fillId="0" borderId="0" xfId="0" applyNumberFormat="1" applyFont="1" applyAlignment="1">
      <alignment horizontal="center"/>
    </xf>
    <xf numFmtId="172" fontId="30" fillId="0" borderId="0" xfId="0" applyNumberFormat="1" applyFont="1" applyAlignment="1" quotePrefix="1">
      <alignment/>
    </xf>
    <xf numFmtId="0" fontId="31" fillId="0" borderId="0" xfId="0" applyFont="1" applyAlignment="1">
      <alignment/>
    </xf>
    <xf numFmtId="3" fontId="30" fillId="0" borderId="9" xfId="0" applyNumberFormat="1" applyFont="1" applyBorder="1" applyAlignment="1">
      <alignment/>
    </xf>
    <xf numFmtId="3" fontId="30" fillId="0" borderId="14" xfId="0" applyNumberFormat="1" applyFont="1" applyBorder="1" applyAlignment="1">
      <alignment/>
    </xf>
    <xf numFmtId="3" fontId="31" fillId="0" borderId="14" xfId="0" applyNumberFormat="1" applyFont="1" applyBorder="1" applyAlignment="1">
      <alignment/>
    </xf>
    <xf numFmtId="3" fontId="30" fillId="0" borderId="14" xfId="0" applyNumberFormat="1" applyFont="1" applyBorder="1" applyAlignment="1">
      <alignment horizontal="center"/>
    </xf>
    <xf numFmtId="3" fontId="30" fillId="0" borderId="17" xfId="0" applyNumberFormat="1" applyFont="1" applyBorder="1" applyAlignment="1">
      <alignment horizontal="left"/>
    </xf>
    <xf numFmtId="3" fontId="30" fillId="0" borderId="18" xfId="0" applyNumberFormat="1" applyFont="1" applyBorder="1" applyAlignment="1">
      <alignment horizontal="left"/>
    </xf>
    <xf numFmtId="3" fontId="30" fillId="0" borderId="18" xfId="0" applyNumberFormat="1" applyFont="1" applyBorder="1" applyAlignment="1">
      <alignment wrapText="1"/>
    </xf>
    <xf numFmtId="3" fontId="30" fillId="0" borderId="18" xfId="0" applyNumberFormat="1" applyFont="1" applyBorder="1" applyAlignment="1">
      <alignment horizontal="center"/>
    </xf>
    <xf numFmtId="3" fontId="31" fillId="0" borderId="18" xfId="0" applyNumberFormat="1" applyFont="1" applyBorder="1" applyAlignment="1">
      <alignment horizontal="center" wrapText="1"/>
    </xf>
    <xf numFmtId="3" fontId="31" fillId="0" borderId="18" xfId="0" applyNumberFormat="1" applyFont="1" applyBorder="1" applyAlignment="1">
      <alignment horizontal="center"/>
    </xf>
    <xf numFmtId="3" fontId="30" fillId="0" borderId="14" xfId="0" applyNumberFormat="1" applyFont="1" applyBorder="1" applyAlignment="1">
      <alignment horizontal="left"/>
    </xf>
    <xf numFmtId="0" fontId="31" fillId="0" borderId="19" xfId="0" applyFont="1" applyBorder="1" applyAlignment="1">
      <alignment/>
    </xf>
    <xf numFmtId="3" fontId="31" fillId="0" borderId="20" xfId="0" applyNumberFormat="1" applyFont="1" applyBorder="1" applyAlignment="1">
      <alignment/>
    </xf>
    <xf numFmtId="42" fontId="31" fillId="0" borderId="20" xfId="0" applyNumberFormat="1" applyFont="1" applyBorder="1" applyAlignment="1">
      <alignment/>
    </xf>
    <xf numFmtId="42" fontId="31" fillId="0" borderId="21" xfId="0" applyNumberFormat="1" applyFont="1" applyBorder="1" applyAlignment="1">
      <alignment/>
    </xf>
    <xf numFmtId="3" fontId="31" fillId="0" borderId="9" xfId="0" applyNumberFormat="1" applyFont="1" applyBorder="1" applyAlignment="1">
      <alignment horizontal="left" indent="1"/>
    </xf>
    <xf numFmtId="3" fontId="31" fillId="0" borderId="14" xfId="0" applyNumberFormat="1" applyFont="1" applyBorder="1" applyAlignment="1">
      <alignment horizontal="left"/>
    </xf>
    <xf numFmtId="3" fontId="31" fillId="0" borderId="14" xfId="0" applyNumberFormat="1" applyFont="1" applyBorder="1" applyAlignment="1">
      <alignment horizontal="center"/>
    </xf>
    <xf numFmtId="42" fontId="31" fillId="0" borderId="22" xfId="0" applyNumberFormat="1" applyFont="1" applyBorder="1" applyAlignment="1">
      <alignment/>
    </xf>
    <xf numFmtId="42" fontId="31" fillId="0" borderId="14" xfId="0" applyNumberFormat="1" applyFont="1" applyBorder="1" applyAlignment="1">
      <alignment/>
    </xf>
    <xf numFmtId="3" fontId="31" fillId="0" borderId="23" xfId="0" applyNumberFormat="1" applyFont="1" applyBorder="1" applyAlignment="1">
      <alignment horizontal="left" indent="1"/>
    </xf>
    <xf numFmtId="3" fontId="31" fillId="0" borderId="13" xfId="0" applyNumberFormat="1" applyFont="1" applyBorder="1" applyAlignment="1">
      <alignment horizontal="left"/>
    </xf>
    <xf numFmtId="3" fontId="31" fillId="0" borderId="13" xfId="0" applyNumberFormat="1" applyFont="1" applyBorder="1" applyAlignment="1">
      <alignment horizontal="center"/>
    </xf>
    <xf numFmtId="3" fontId="31" fillId="0" borderId="13" xfId="0" applyNumberFormat="1" applyFont="1" applyBorder="1" applyAlignment="1">
      <alignment/>
    </xf>
    <xf numFmtId="42" fontId="31" fillId="0" borderId="13" xfId="0" applyNumberFormat="1" applyFont="1" applyBorder="1" applyAlignment="1">
      <alignment/>
    </xf>
    <xf numFmtId="3" fontId="30" fillId="0" borderId="24" xfId="0" applyNumberFormat="1" applyFont="1" applyBorder="1" applyAlignment="1">
      <alignment horizontal="left" indent="1"/>
    </xf>
    <xf numFmtId="3" fontId="30" fillId="0" borderId="15" xfId="0" applyNumberFormat="1" applyFont="1" applyBorder="1" applyAlignment="1">
      <alignment/>
    </xf>
    <xf numFmtId="42" fontId="30" fillId="0" borderId="14" xfId="0" applyNumberFormat="1" applyFont="1" applyBorder="1" applyAlignment="1">
      <alignment/>
    </xf>
    <xf numFmtId="3" fontId="30" fillId="0" borderId="5" xfId="0" applyNumberFormat="1" applyFont="1" applyBorder="1" applyAlignment="1">
      <alignment/>
    </xf>
    <xf numFmtId="0" fontId="31" fillId="0" borderId="2" xfId="0" applyFont="1" applyBorder="1" applyAlignment="1">
      <alignment horizontal="center"/>
    </xf>
    <xf numFmtId="3" fontId="31" fillId="0" borderId="2" xfId="0" applyNumberFormat="1" applyFont="1" applyBorder="1" applyAlignment="1">
      <alignment/>
    </xf>
    <xf numFmtId="42" fontId="31" fillId="0" borderId="2" xfId="0" applyNumberFormat="1" applyFont="1" applyBorder="1" applyAlignment="1">
      <alignment/>
    </xf>
    <xf numFmtId="42" fontId="31" fillId="0" borderId="24" xfId="0" applyNumberFormat="1" applyFont="1" applyBorder="1" applyAlignment="1">
      <alignment/>
    </xf>
    <xf numFmtId="3" fontId="30" fillId="0" borderId="25" xfId="0" applyNumberFormat="1" applyFont="1" applyBorder="1" applyAlignment="1">
      <alignment/>
    </xf>
    <xf numFmtId="3" fontId="31" fillId="0" borderId="22" xfId="0" applyNumberFormat="1" applyFont="1" applyBorder="1" applyAlignment="1">
      <alignment horizontal="center" wrapText="1"/>
    </xf>
    <xf numFmtId="3" fontId="31" fillId="0" borderId="6" xfId="0" applyNumberFormat="1" applyFont="1" applyBorder="1" applyAlignment="1">
      <alignment/>
    </xf>
    <xf numFmtId="3" fontId="31" fillId="0" borderId="6" xfId="0" applyNumberFormat="1" applyFont="1" applyBorder="1" applyAlignment="1">
      <alignment horizontal="left" indent="1"/>
    </xf>
    <xf numFmtId="3" fontId="31" fillId="0" borderId="5" xfId="0" applyNumberFormat="1" applyFont="1" applyBorder="1" applyAlignment="1">
      <alignment horizontal="left" indent="1"/>
    </xf>
    <xf numFmtId="3" fontId="30" fillId="0" borderId="6" xfId="0" applyNumberFormat="1" applyFont="1" applyBorder="1" applyAlignment="1">
      <alignment/>
    </xf>
    <xf numFmtId="3" fontId="31" fillId="0" borderId="9" xfId="0" applyNumberFormat="1" applyFont="1" applyBorder="1" applyAlignment="1">
      <alignment/>
    </xf>
    <xf numFmtId="3" fontId="31" fillId="0" borderId="23" xfId="0" applyNumberFormat="1" applyFont="1" applyBorder="1" applyAlignment="1">
      <alignment/>
    </xf>
    <xf numFmtId="3" fontId="31" fillId="0" borderId="5" xfId="0" applyNumberFormat="1" applyFont="1" applyBorder="1" applyAlignment="1">
      <alignment/>
    </xf>
    <xf numFmtId="3" fontId="30" fillId="0" borderId="24" xfId="0" applyNumberFormat="1" applyFont="1" applyBorder="1" applyAlignment="1">
      <alignment/>
    </xf>
    <xf numFmtId="3" fontId="30" fillId="0" borderId="7" xfId="0" applyNumberFormat="1" applyFont="1" applyBorder="1" applyAlignment="1">
      <alignment/>
    </xf>
    <xf numFmtId="3" fontId="31" fillId="0" borderId="24" xfId="0" applyNumberFormat="1" applyFont="1" applyBorder="1" applyAlignment="1">
      <alignment/>
    </xf>
    <xf numFmtId="3" fontId="31" fillId="0" borderId="0" xfId="0" applyNumberFormat="1" applyFont="1" applyBorder="1" applyAlignment="1">
      <alignment/>
    </xf>
    <xf numFmtId="42" fontId="31" fillId="0" borderId="6" xfId="0" applyNumberFormat="1" applyFont="1" applyBorder="1" applyAlignment="1">
      <alignment/>
    </xf>
    <xf numFmtId="3" fontId="30" fillId="0" borderId="24" xfId="0" applyNumberFormat="1" applyFont="1" applyBorder="1" applyAlignment="1">
      <alignment horizontal="left" wrapText="1" indent="1"/>
    </xf>
    <xf numFmtId="0" fontId="31" fillId="0" borderId="2" xfId="0" applyFont="1" applyBorder="1" applyAlignment="1">
      <alignment/>
    </xf>
    <xf numFmtId="3" fontId="31" fillId="0" borderId="15" xfId="0" applyNumberFormat="1" applyFont="1" applyBorder="1" applyAlignment="1">
      <alignment/>
    </xf>
    <xf numFmtId="42" fontId="30" fillId="0" borderId="15" xfId="0" applyNumberFormat="1" applyFont="1" applyBorder="1" applyAlignment="1">
      <alignment/>
    </xf>
    <xf numFmtId="42" fontId="31" fillId="0" borderId="15" xfId="0" applyNumberFormat="1" applyFont="1" applyBorder="1" applyAlignment="1">
      <alignment/>
    </xf>
    <xf numFmtId="3" fontId="31" fillId="0" borderId="6" xfId="0" applyNumberFormat="1" applyFont="1" applyBorder="1" applyAlignment="1">
      <alignment horizontal="left"/>
    </xf>
    <xf numFmtId="3" fontId="31" fillId="0" borderId="6" xfId="0" applyNumberFormat="1" applyFont="1" applyBorder="1" applyAlignment="1">
      <alignment/>
    </xf>
    <xf numFmtId="3" fontId="31" fillId="0" borderId="9" xfId="0" applyNumberFormat="1" applyFont="1" applyBorder="1" applyAlignment="1">
      <alignment/>
    </xf>
    <xf numFmtId="3" fontId="31" fillId="0" borderId="14" xfId="0" applyNumberFormat="1" applyFont="1" applyBorder="1" applyAlignment="1">
      <alignment/>
    </xf>
    <xf numFmtId="3" fontId="31" fillId="0" borderId="9" xfId="0" applyNumberFormat="1" applyFont="1" applyBorder="1" applyAlignment="1">
      <alignment horizontal="left" wrapText="1" indent="1"/>
    </xf>
    <xf numFmtId="3" fontId="31" fillId="0" borderId="6" xfId="0" applyNumberFormat="1" applyFont="1" applyBorder="1" applyAlignment="1">
      <alignment wrapText="1"/>
    </xf>
    <xf numFmtId="3" fontId="31" fillId="0" borderId="23" xfId="0" applyNumberFormat="1" applyFont="1" applyBorder="1" applyAlignment="1">
      <alignment horizontal="left" wrapText="1" indent="1"/>
    </xf>
    <xf numFmtId="3" fontId="31" fillId="0" borderId="5" xfId="0" applyNumberFormat="1" applyFont="1" applyBorder="1" applyAlignment="1">
      <alignment wrapText="1"/>
    </xf>
    <xf numFmtId="3" fontId="30" fillId="0" borderId="23" xfId="0" applyNumberFormat="1" applyFont="1" applyBorder="1" applyAlignment="1">
      <alignment horizontal="left" indent="1"/>
    </xf>
    <xf numFmtId="42" fontId="30" fillId="0" borderId="13" xfId="0" applyNumberFormat="1" applyFont="1" applyBorder="1" applyAlignment="1">
      <alignment/>
    </xf>
    <xf numFmtId="3" fontId="31" fillId="0" borderId="26" xfId="0" applyNumberFormat="1" applyFont="1" applyBorder="1" applyAlignment="1">
      <alignment/>
    </xf>
    <xf numFmtId="0" fontId="31" fillId="0" borderId="0" xfId="0" applyFont="1" applyBorder="1" applyAlignment="1">
      <alignment/>
    </xf>
    <xf numFmtId="0" fontId="31" fillId="0" borderId="5" xfId="0" applyFont="1" applyBorder="1" applyAlignment="1">
      <alignment/>
    </xf>
    <xf numFmtId="10" fontId="31" fillId="0" borderId="1" xfId="0" applyNumberFormat="1" applyFont="1" applyBorder="1" applyAlignment="1">
      <alignment/>
    </xf>
    <xf numFmtId="3" fontId="30" fillId="0" borderId="23" xfId="0" applyNumberFormat="1" applyFont="1" applyBorder="1" applyAlignment="1">
      <alignment/>
    </xf>
    <xf numFmtId="3" fontId="30" fillId="0" borderId="13" xfId="0" applyNumberFormat="1" applyFont="1" applyBorder="1" applyAlignment="1">
      <alignment/>
    </xf>
    <xf numFmtId="3" fontId="31" fillId="0" borderId="27" xfId="0" applyNumberFormat="1" applyFont="1" applyBorder="1" applyAlignment="1">
      <alignment/>
    </xf>
    <xf numFmtId="3" fontId="31" fillId="0" borderId="9" xfId="0" applyNumberFormat="1" applyFont="1" applyFill="1" applyBorder="1" applyAlignment="1">
      <alignment/>
    </xf>
    <xf numFmtId="0" fontId="31" fillId="0" borderId="6" xfId="0" applyFont="1" applyFill="1" applyBorder="1" applyAlignment="1">
      <alignment/>
    </xf>
    <xf numFmtId="42" fontId="31" fillId="0" borderId="9" xfId="0" applyNumberFormat="1" applyFont="1" applyFill="1" applyBorder="1" applyAlignment="1">
      <alignment/>
    </xf>
    <xf numFmtId="37" fontId="31" fillId="0" borderId="14" xfId="0" applyNumberFormat="1" applyFont="1" applyFill="1" applyBorder="1" applyAlignment="1">
      <alignment/>
    </xf>
    <xf numFmtId="42" fontId="31" fillId="0" borderId="14" xfId="0" applyNumberFormat="1" applyFont="1" applyFill="1" applyBorder="1" applyAlignment="1">
      <alignment/>
    </xf>
    <xf numFmtId="42" fontId="31" fillId="0" borderId="0" xfId="0" applyNumberFormat="1" applyFont="1" applyAlignment="1">
      <alignment/>
    </xf>
    <xf numFmtId="3" fontId="31" fillId="0" borderId="0" xfId="0" applyNumberFormat="1" applyFont="1" applyAlignment="1" quotePrefix="1">
      <alignment/>
    </xf>
    <xf numFmtId="173" fontId="31" fillId="0" borderId="0" xfId="0" applyNumberFormat="1" applyFont="1" applyAlignment="1">
      <alignment/>
    </xf>
    <xf numFmtId="9" fontId="0" fillId="0" borderId="0" xfId="0" applyNumberFormat="1" applyFont="1" applyFill="1" applyBorder="1" applyAlignment="1">
      <alignment/>
    </xf>
    <xf numFmtId="3" fontId="0" fillId="0" borderId="0" xfId="0" applyNumberFormat="1" applyAlignment="1">
      <alignment/>
    </xf>
    <xf numFmtId="37" fontId="0" fillId="0" borderId="0" xfId="0" applyNumberFormat="1" applyFont="1" applyFill="1" applyBorder="1" applyAlignment="1">
      <alignment/>
    </xf>
    <xf numFmtId="0" fontId="0" fillId="0" borderId="0" xfId="0" applyAlignment="1">
      <alignment horizontal="right"/>
    </xf>
    <xf numFmtId="0" fontId="0" fillId="7" borderId="0" xfId="0" applyFill="1" applyAlignment="1">
      <alignment horizontal="center"/>
    </xf>
    <xf numFmtId="1" fontId="0" fillId="0" borderId="16" xfId="0" applyNumberFormat="1" applyBorder="1" applyAlignment="1">
      <alignment/>
    </xf>
    <xf numFmtId="0" fontId="5" fillId="0" borderId="16" xfId="0" applyFont="1" applyBorder="1" applyAlignment="1">
      <alignment horizontal="right"/>
    </xf>
    <xf numFmtId="1" fontId="5" fillId="0" borderId="16" xfId="0" applyNumberFormat="1" applyFont="1" applyBorder="1" applyAlignment="1">
      <alignment/>
    </xf>
    <xf numFmtId="0" fontId="0" fillId="0" borderId="16" xfId="0" applyFont="1" applyBorder="1" applyAlignment="1">
      <alignment horizontal="left"/>
    </xf>
    <xf numFmtId="0" fontId="18" fillId="0" borderId="16" xfId="0" applyFont="1" applyBorder="1" applyAlignment="1">
      <alignment horizontal="center"/>
    </xf>
    <xf numFmtId="16" fontId="0" fillId="0" borderId="16" xfId="0" applyNumberFormat="1" applyBorder="1" applyAlignment="1" quotePrefix="1">
      <alignment wrapText="1"/>
    </xf>
    <xf numFmtId="0" fontId="0" fillId="8" borderId="0" xfId="0" applyFill="1" applyAlignment="1">
      <alignment wrapText="1"/>
    </xf>
    <xf numFmtId="0" fontId="0" fillId="9" borderId="0" xfId="0" applyFill="1" applyAlignment="1">
      <alignment wrapText="1"/>
    </xf>
    <xf numFmtId="0" fontId="0" fillId="10" borderId="0" xfId="0" applyFill="1" applyAlignment="1">
      <alignment wrapText="1"/>
    </xf>
    <xf numFmtId="0" fontId="25" fillId="10" borderId="0" xfId="0" applyFont="1" applyFill="1" applyAlignment="1">
      <alignment wrapText="1"/>
    </xf>
    <xf numFmtId="0" fontId="0" fillId="5" borderId="0" xfId="0" applyFill="1" applyAlignment="1">
      <alignment wrapText="1"/>
    </xf>
    <xf numFmtId="0" fontId="0" fillId="6" borderId="0" xfId="0" applyFill="1" applyAlignment="1">
      <alignment wrapText="1"/>
    </xf>
    <xf numFmtId="0" fontId="0" fillId="8" borderId="0" xfId="0" applyFont="1" applyFill="1" applyAlignment="1">
      <alignment wrapText="1"/>
    </xf>
    <xf numFmtId="0" fontId="0" fillId="0" borderId="16" xfId="0" applyBorder="1" applyAlignment="1" quotePrefix="1">
      <alignment wrapText="1"/>
    </xf>
    <xf numFmtId="14" fontId="0" fillId="0" borderId="16" xfId="0" applyNumberFormat="1" applyBorder="1" applyAlignment="1">
      <alignment/>
    </xf>
    <xf numFmtId="9" fontId="5" fillId="2" borderId="0" xfId="22" applyFont="1" applyFill="1" applyAlignment="1">
      <alignment/>
    </xf>
    <xf numFmtId="1" fontId="33" fillId="0" borderId="0" xfId="0" applyNumberFormat="1" applyFont="1" applyFill="1" applyAlignment="1">
      <alignment/>
    </xf>
    <xf numFmtId="1" fontId="0" fillId="0" borderId="0" xfId="0" applyNumberFormat="1" applyFont="1" applyFill="1" applyAlignment="1">
      <alignment/>
    </xf>
    <xf numFmtId="0" fontId="0" fillId="0" borderId="0" xfId="0" applyFont="1" applyFill="1" applyBorder="1" applyAlignment="1">
      <alignment horizontal="left"/>
    </xf>
    <xf numFmtId="0" fontId="5" fillId="0" borderId="28" xfId="0" applyFont="1" applyFill="1" applyBorder="1" applyAlignment="1">
      <alignment horizontal="center"/>
    </xf>
    <xf numFmtId="0" fontId="5" fillId="0" borderId="0" xfId="0" applyFont="1" applyAlignment="1">
      <alignment horizontal="center" wrapText="1"/>
    </xf>
    <xf numFmtId="1" fontId="0" fillId="0" borderId="16" xfId="0" applyNumberFormat="1" applyBorder="1" applyAlignment="1">
      <alignment horizontal="center"/>
    </xf>
    <xf numFmtId="9" fontId="0" fillId="0" borderId="16" xfId="0" applyNumberFormat="1" applyBorder="1" applyAlignment="1">
      <alignment horizontal="center"/>
    </xf>
    <xf numFmtId="0" fontId="0" fillId="0" borderId="16" xfId="0" applyFill="1" applyBorder="1" applyAlignment="1">
      <alignment horizontal="right"/>
    </xf>
    <xf numFmtId="1" fontId="5" fillId="0" borderId="16" xfId="0" applyNumberFormat="1" applyFont="1" applyBorder="1" applyAlignment="1">
      <alignment horizontal="center"/>
    </xf>
    <xf numFmtId="41" fontId="0" fillId="0" borderId="16" xfId="0" applyNumberFormat="1" applyBorder="1" applyAlignment="1">
      <alignment/>
    </xf>
    <xf numFmtId="0" fontId="5" fillId="0" borderId="16" xfId="0" applyFont="1" applyBorder="1" applyAlignment="1" quotePrefix="1">
      <alignment horizontal="right"/>
    </xf>
    <xf numFmtId="0" fontId="5" fillId="0" borderId="0" xfId="0" applyFont="1" applyFill="1" applyBorder="1" applyAlignment="1">
      <alignment horizontal="right"/>
    </xf>
    <xf numFmtId="0" fontId="30" fillId="0" borderId="16" xfId="0" applyFont="1" applyBorder="1" applyAlignment="1">
      <alignment/>
    </xf>
    <xf numFmtId="0" fontId="30" fillId="0" borderId="16" xfId="0" applyFont="1" applyBorder="1" applyAlignment="1">
      <alignment horizontal="center"/>
    </xf>
    <xf numFmtId="0" fontId="31" fillId="0" borderId="16" xfId="0" applyFont="1" applyBorder="1" applyAlignment="1">
      <alignment horizontal="left" indent="1"/>
    </xf>
    <xf numFmtId="41" fontId="31" fillId="0" borderId="16" xfId="0" applyNumberFormat="1" applyFont="1" applyBorder="1" applyAlignment="1">
      <alignment/>
    </xf>
    <xf numFmtId="41" fontId="31" fillId="2" borderId="29" xfId="0" applyNumberFormat="1" applyFont="1" applyFill="1" applyBorder="1" applyAlignment="1">
      <alignment/>
    </xf>
    <xf numFmtId="41" fontId="31" fillId="2" borderId="2" xfId="0" applyNumberFormat="1" applyFont="1" applyFill="1" applyBorder="1" applyAlignment="1">
      <alignment/>
    </xf>
    <xf numFmtId="41" fontId="31" fillId="2" borderId="30" xfId="0" applyNumberFormat="1" applyFont="1" applyFill="1" applyBorder="1" applyAlignment="1">
      <alignment/>
    </xf>
    <xf numFmtId="0" fontId="31" fillId="0" borderId="16" xfId="0" applyFont="1" applyBorder="1" applyAlignment="1">
      <alignment horizontal="left" indent="2"/>
    </xf>
    <xf numFmtId="0" fontId="30" fillId="0" borderId="16" xfId="0" applyFont="1" applyBorder="1" applyAlignment="1">
      <alignment horizontal="left" indent="1"/>
    </xf>
    <xf numFmtId="0" fontId="31" fillId="0" borderId="31" xfId="0" applyFont="1" applyBorder="1" applyAlignment="1">
      <alignment horizontal="left" indent="1"/>
    </xf>
    <xf numFmtId="0" fontId="31" fillId="0" borderId="32" xfId="0" applyFont="1" applyBorder="1" applyAlignment="1">
      <alignment horizontal="left" indent="1"/>
    </xf>
    <xf numFmtId="41" fontId="31" fillId="0" borderId="32" xfId="0" applyNumberFormat="1" applyFont="1" applyBorder="1" applyAlignment="1">
      <alignment/>
    </xf>
    <xf numFmtId="0" fontId="30" fillId="0" borderId="31" xfId="0" applyFont="1" applyBorder="1" applyAlignment="1">
      <alignment/>
    </xf>
    <xf numFmtId="41" fontId="31" fillId="0" borderId="31" xfId="0" applyNumberFormat="1" applyFont="1" applyBorder="1" applyAlignment="1">
      <alignment/>
    </xf>
    <xf numFmtId="0" fontId="31" fillId="0" borderId="0" xfId="0" applyFont="1" applyAlignment="1">
      <alignment horizontal="left" indent="1"/>
    </xf>
    <xf numFmtId="0" fontId="37" fillId="0" borderId="0" xfId="0" applyFont="1" applyAlignment="1">
      <alignment/>
    </xf>
    <xf numFmtId="14" fontId="37" fillId="0" borderId="0" xfId="0" applyNumberFormat="1" applyFont="1" applyAlignment="1">
      <alignment/>
    </xf>
    <xf numFmtId="0" fontId="38" fillId="0" borderId="0" xfId="0" applyFont="1" applyAlignment="1">
      <alignment/>
    </xf>
    <xf numFmtId="14" fontId="38" fillId="0" borderId="0" xfId="0" applyNumberFormat="1" applyFont="1" applyAlignment="1">
      <alignment/>
    </xf>
    <xf numFmtId="0" fontId="31" fillId="0" borderId="0" xfId="0" applyFont="1" applyAlignment="1">
      <alignment horizontal="left"/>
    </xf>
    <xf numFmtId="41" fontId="31" fillId="0" borderId="0" xfId="0" applyNumberFormat="1" applyFont="1" applyBorder="1" applyAlignment="1">
      <alignment/>
    </xf>
    <xf numFmtId="0" fontId="31" fillId="2" borderId="0" xfId="0" applyFont="1" applyFill="1" applyAlignment="1">
      <alignment/>
    </xf>
    <xf numFmtId="0" fontId="31" fillId="0" borderId="16" xfId="0" applyFont="1" applyBorder="1" applyAlignment="1">
      <alignment/>
    </xf>
    <xf numFmtId="0" fontId="31" fillId="2" borderId="16" xfId="0" applyFont="1" applyFill="1" applyBorder="1" applyAlignment="1">
      <alignment/>
    </xf>
    <xf numFmtId="1" fontId="31" fillId="0" borderId="16" xfId="0" applyNumberFormat="1" applyFont="1" applyBorder="1" applyAlignment="1">
      <alignment/>
    </xf>
    <xf numFmtId="1" fontId="31" fillId="2" borderId="16" xfId="0" applyNumberFormat="1" applyFont="1" applyFill="1" applyBorder="1" applyAlignment="1">
      <alignment/>
    </xf>
    <xf numFmtId="0" fontId="31" fillId="0" borderId="16" xfId="0" applyFont="1" applyBorder="1" applyAlignment="1">
      <alignment horizontal="left" indent="3"/>
    </xf>
    <xf numFmtId="0" fontId="31" fillId="0" borderId="0" xfId="0" applyFont="1" applyBorder="1" applyAlignment="1">
      <alignment horizontal="left" indent="1"/>
    </xf>
    <xf numFmtId="1" fontId="31" fillId="0" borderId="0" xfId="0" applyNumberFormat="1" applyFont="1" applyAlignment="1">
      <alignment/>
    </xf>
    <xf numFmtId="1" fontId="31" fillId="2" borderId="0" xfId="0" applyNumberFormat="1" applyFont="1" applyFill="1" applyAlignment="1">
      <alignment/>
    </xf>
    <xf numFmtId="0" fontId="31" fillId="0" borderId="0" xfId="0" applyFont="1" applyFill="1" applyAlignment="1">
      <alignment/>
    </xf>
    <xf numFmtId="0" fontId="31" fillId="0" borderId="16" xfId="0" applyFont="1" applyFill="1" applyBorder="1" applyAlignment="1">
      <alignment/>
    </xf>
    <xf numFmtId="41" fontId="31" fillId="2" borderId="16" xfId="0" applyNumberFormat="1" applyFont="1" applyFill="1" applyBorder="1" applyAlignment="1">
      <alignment/>
    </xf>
    <xf numFmtId="41" fontId="31" fillId="0" borderId="16" xfId="0" applyNumberFormat="1" applyFont="1" applyFill="1" applyBorder="1" applyAlignment="1">
      <alignment/>
    </xf>
    <xf numFmtId="41" fontId="31" fillId="0" borderId="0" xfId="0" applyNumberFormat="1" applyFont="1" applyAlignment="1">
      <alignment/>
    </xf>
    <xf numFmtId="41" fontId="31" fillId="2" borderId="0" xfId="0" applyNumberFormat="1" applyFont="1" applyFill="1" applyAlignment="1">
      <alignment/>
    </xf>
    <xf numFmtId="41" fontId="31" fillId="0" borderId="0" xfId="0" applyNumberFormat="1" applyFont="1" applyFill="1" applyAlignment="1">
      <alignment/>
    </xf>
    <xf numFmtId="174" fontId="0" fillId="0" borderId="0" xfId="0" applyNumberFormat="1" applyAlignment="1">
      <alignment/>
    </xf>
    <xf numFmtId="0" fontId="0" fillId="0" borderId="29" xfId="0" applyBorder="1" applyAlignment="1">
      <alignment horizontal="center"/>
    </xf>
    <xf numFmtId="0" fontId="0" fillId="0" borderId="2" xfId="0" applyBorder="1" applyAlignment="1">
      <alignment horizontal="center"/>
    </xf>
    <xf numFmtId="0" fontId="0" fillId="0" borderId="30" xfId="0" applyBorder="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 wrapText="1"/>
    </xf>
    <xf numFmtId="0" fontId="5" fillId="0" borderId="16" xfId="0" applyFont="1" applyBorder="1" applyAlignment="1">
      <alignment horizontal="center"/>
    </xf>
    <xf numFmtId="0" fontId="15" fillId="0" borderId="0" xfId="0" applyFont="1" applyBorder="1" applyAlignment="1">
      <alignment horizontal="justify" vertical="top" wrapText="1"/>
    </xf>
    <xf numFmtId="0" fontId="15" fillId="0" borderId="0" xfId="0" applyFont="1" applyBorder="1" applyAlignment="1">
      <alignment horizontal="left" vertical="top" wrapText="1"/>
    </xf>
    <xf numFmtId="0" fontId="11" fillId="0" borderId="0" xfId="0" applyFont="1" applyBorder="1" applyAlignment="1">
      <alignment horizontal="justify" vertical="top"/>
    </xf>
    <xf numFmtId="0" fontId="19" fillId="0" borderId="0" xfId="0" applyFont="1" applyAlignment="1">
      <alignment horizontal="justify" vertical="top"/>
    </xf>
    <xf numFmtId="0" fontId="0" fillId="0" borderId="0" xfId="0" applyFont="1" applyFill="1" applyBorder="1" applyAlignment="1">
      <alignment wrapText="1"/>
    </xf>
    <xf numFmtId="0" fontId="26" fillId="0" borderId="0" xfId="0" applyFont="1" applyFill="1" applyBorder="1" applyAlignment="1">
      <alignment wrapText="1"/>
    </xf>
    <xf numFmtId="0" fontId="26" fillId="0" borderId="0" xfId="0" applyFont="1" applyAlignment="1">
      <alignment wrapText="1"/>
    </xf>
    <xf numFmtId="0" fontId="27" fillId="0" borderId="0" xfId="0" applyFont="1" applyFill="1" applyBorder="1" applyAlignment="1">
      <alignment wrapText="1"/>
    </xf>
    <xf numFmtId="0" fontId="5" fillId="0" borderId="16" xfId="0" applyFont="1" applyBorder="1" applyAlignment="1">
      <alignment horizontal="left"/>
    </xf>
    <xf numFmtId="0" fontId="0" fillId="0" borderId="16" xfId="0" applyBorder="1" applyAlignment="1">
      <alignment/>
    </xf>
    <xf numFmtId="0" fontId="5" fillId="0" borderId="0" xfId="0" applyFont="1" applyAlignment="1">
      <alignment wrapText="1"/>
    </xf>
    <xf numFmtId="0" fontId="5" fillId="0" borderId="0" xfId="0" applyFont="1" applyAlignment="1">
      <alignment horizontal="left"/>
    </xf>
    <xf numFmtId="0" fontId="0" fillId="0" borderId="0" xfId="0" applyAlignment="1">
      <alignment wrapText="1"/>
    </xf>
    <xf numFmtId="0" fontId="0" fillId="0" borderId="0" xfId="0" applyAlignment="1">
      <alignment/>
    </xf>
    <xf numFmtId="0" fontId="0" fillId="0" borderId="0" xfId="0" applyFill="1" applyBorder="1" applyAlignment="1">
      <alignment wrapText="1"/>
    </xf>
    <xf numFmtId="0" fontId="5" fillId="0" borderId="0" xfId="0" applyFont="1" applyAlignment="1">
      <alignment horizontal="center"/>
    </xf>
    <xf numFmtId="0" fontId="0" fillId="0" borderId="0" xfId="0" applyFont="1" applyAlignment="1">
      <alignment wrapText="1"/>
    </xf>
    <xf numFmtId="0" fontId="0" fillId="0" borderId="29" xfId="0" applyBorder="1" applyAlignment="1">
      <alignment horizontal="center" wrapText="1"/>
    </xf>
    <xf numFmtId="0" fontId="0" fillId="0" borderId="2" xfId="0" applyBorder="1" applyAlignment="1">
      <alignment/>
    </xf>
    <xf numFmtId="0" fontId="0" fillId="0" borderId="30" xfId="0" applyBorder="1" applyAlignment="1">
      <alignment/>
    </xf>
    <xf numFmtId="3" fontId="30" fillId="0" borderId="0" xfId="0" applyNumberFormat="1" applyFont="1" applyBorder="1" applyAlignment="1">
      <alignment wrapText="1"/>
    </xf>
    <xf numFmtId="0" fontId="5" fillId="0" borderId="0" xfId="0" applyFont="1" applyFill="1" applyBorder="1" applyAlignment="1">
      <alignment/>
    </xf>
    <xf numFmtId="0" fontId="5" fillId="0" borderId="29" xfId="0" applyFont="1" applyBorder="1" applyAlignment="1">
      <alignment horizontal="center"/>
    </xf>
    <xf numFmtId="0" fontId="5" fillId="0" borderId="30" xfId="0" applyFont="1" applyBorder="1" applyAlignment="1">
      <alignment horizontal="center"/>
    </xf>
    <xf numFmtId="0" fontId="5" fillId="0" borderId="2" xfId="0" applyFont="1" applyBorder="1" applyAlignment="1">
      <alignment horizontal="center"/>
    </xf>
    <xf numFmtId="0" fontId="5" fillId="0" borderId="16" xfId="0" applyFont="1" applyBorder="1" applyAlignment="1">
      <alignment horizontal="center" wrapText="1"/>
    </xf>
    <xf numFmtId="0" fontId="5" fillId="0" borderId="16" xfId="0" applyFont="1" applyBorder="1" applyAlignment="1">
      <alignment wrapText="1"/>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NGAO Spending Profile</a:t>
            </a:r>
          </a:p>
        </c:rich>
      </c:tx>
      <c:layout/>
      <c:spPr>
        <a:noFill/>
        <a:ln>
          <a:noFill/>
        </a:ln>
      </c:spPr>
    </c:title>
    <c:plotArea>
      <c:layout>
        <c:manualLayout>
          <c:xMode val="edge"/>
          <c:yMode val="edge"/>
          <c:x val="0.06725"/>
          <c:y val="0.12625"/>
          <c:w val="0.888"/>
          <c:h val="0.78425"/>
        </c:manualLayout>
      </c:layout>
      <c:lineChart>
        <c:grouping val="standard"/>
        <c:varyColors val="0"/>
        <c:ser>
          <c:idx val="0"/>
          <c:order val="0"/>
          <c:tx>
            <c:v>System</c:v>
          </c:tx>
          <c:extLst>
            <c:ext xmlns:c14="http://schemas.microsoft.com/office/drawing/2007/8/2/chart" uri="{6F2FDCE9-48DA-4B69-8628-5D25D57E5C99}">
              <c14:invertSolidFillFmt>
                <c14:spPr>
                  <a:solidFill>
                    <a:srgbClr val="000000"/>
                  </a:solidFill>
                </c14:spPr>
              </c14:invertSolidFillFmt>
            </c:ext>
          </c:extLst>
          <c:cat>
            <c:strRef>
              <c:f>'Cost Est (then-yr)'!$B$2:$J$2</c:f>
              <c:strCache/>
            </c:strRef>
          </c:cat>
          <c:val>
            <c:numRef>
              <c:f>'Cost Est (then-yr)'!$B$10:$J$10</c:f>
              <c:numCache>
                <c:ptCount val="9"/>
                <c:pt idx="0">
                  <c:v>0</c:v>
                </c:pt>
                <c:pt idx="1">
                  <c:v>0</c:v>
                </c:pt>
                <c:pt idx="2">
                  <c:v>0</c:v>
                </c:pt>
                <c:pt idx="3">
                  <c:v>0</c:v>
                </c:pt>
                <c:pt idx="4">
                  <c:v>0</c:v>
                </c:pt>
                <c:pt idx="5">
                  <c:v>0</c:v>
                </c:pt>
                <c:pt idx="6">
                  <c:v>0</c:v>
                </c:pt>
                <c:pt idx="7">
                  <c:v>0</c:v>
                </c:pt>
                <c:pt idx="8">
                  <c:v>0</c:v>
                </c:pt>
              </c:numCache>
            </c:numRef>
          </c:val>
          <c:smooth val="0"/>
        </c:ser>
        <c:ser>
          <c:idx val="1"/>
          <c:order val="1"/>
          <c:tx>
            <c:v>Instruments</c:v>
          </c:tx>
          <c:extLst>
            <c:ext xmlns:c14="http://schemas.microsoft.com/office/drawing/2007/8/2/chart" uri="{6F2FDCE9-48DA-4B69-8628-5D25D57E5C99}">
              <c14:invertSolidFillFmt>
                <c14:spPr>
                  <a:solidFill>
                    <a:srgbClr val="000000"/>
                  </a:solidFill>
                </c14:spPr>
              </c14:invertSolidFillFmt>
            </c:ext>
          </c:extLst>
          <c:cat>
            <c:strRef>
              <c:f>'Cost Est (then-yr)'!$B$2:$J$2</c:f>
              <c:strCache/>
            </c:strRef>
          </c:cat>
          <c:val>
            <c:numRef>
              <c:f>'Cost Est (then-yr)'!$B$15:$J$15</c:f>
              <c:numCache>
                <c:ptCount val="9"/>
                <c:pt idx="0">
                  <c:v>0</c:v>
                </c:pt>
                <c:pt idx="1">
                  <c:v>0</c:v>
                </c:pt>
                <c:pt idx="2">
                  <c:v>0</c:v>
                </c:pt>
                <c:pt idx="3">
                  <c:v>0</c:v>
                </c:pt>
                <c:pt idx="4">
                  <c:v>0</c:v>
                </c:pt>
                <c:pt idx="5">
                  <c:v>0</c:v>
                </c:pt>
                <c:pt idx="6">
                  <c:v>0</c:v>
                </c:pt>
                <c:pt idx="7">
                  <c:v>0</c:v>
                </c:pt>
                <c:pt idx="8">
                  <c:v>0</c:v>
                </c:pt>
              </c:numCache>
            </c:numRef>
          </c:val>
          <c:smooth val="0"/>
        </c:ser>
        <c:ser>
          <c:idx val="2"/>
          <c:order val="2"/>
          <c:tx>
            <c:v>Total</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'Cost Est (then-yr)'!$B$2:$J$2</c:f>
              <c:strCache/>
            </c:strRef>
          </c:cat>
          <c:val>
            <c:numRef>
              <c:f>'Cost Est (then-yr)'!$B$16:$J$16</c:f>
              <c:numCache>
                <c:ptCount val="9"/>
                <c:pt idx="0">
                  <c:v>0</c:v>
                </c:pt>
                <c:pt idx="1">
                  <c:v>0</c:v>
                </c:pt>
                <c:pt idx="2">
                  <c:v>0</c:v>
                </c:pt>
                <c:pt idx="3">
                  <c:v>0</c:v>
                </c:pt>
                <c:pt idx="4">
                  <c:v>0</c:v>
                </c:pt>
                <c:pt idx="5">
                  <c:v>0</c:v>
                </c:pt>
                <c:pt idx="6">
                  <c:v>0</c:v>
                </c:pt>
                <c:pt idx="7">
                  <c:v>0</c:v>
                </c:pt>
                <c:pt idx="8">
                  <c:v>0</c:v>
                </c:pt>
              </c:numCache>
            </c:numRef>
          </c:val>
          <c:smooth val="0"/>
        </c:ser>
        <c:marker val="1"/>
        <c:axId val="13987477"/>
        <c:axId val="58778430"/>
      </c:lineChart>
      <c:catAx>
        <c:axId val="13987477"/>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58778430"/>
        <c:crosses val="autoZero"/>
        <c:auto val="1"/>
        <c:lblOffset val="100"/>
        <c:noMultiLvlLbl val="0"/>
      </c:catAx>
      <c:valAx>
        <c:axId val="58778430"/>
        <c:scaling>
          <c:orientation val="minMax"/>
          <c:max val="20000"/>
        </c:scaling>
        <c:axPos val="l"/>
        <c:title>
          <c:tx>
            <c:rich>
              <a:bodyPr vert="horz" rot="-5400000" anchor="ctr"/>
              <a:lstStyle/>
              <a:p>
                <a:pPr algn="ctr">
                  <a:defRPr/>
                </a:pPr>
                <a:r>
                  <a:rPr lang="en-US" cap="none" sz="1000" b="1" i="0" u="none" baseline="0">
                    <a:latin typeface="Arial"/>
                    <a:ea typeface="Arial"/>
                    <a:cs typeface="Arial"/>
                  </a:rPr>
                  <a:t>Then-Year $k</a:t>
                </a:r>
              </a:p>
            </c:rich>
          </c:tx>
          <c:layout/>
          <c:overlay val="0"/>
          <c:spPr>
            <a:noFill/>
            <a:ln>
              <a:noFill/>
            </a:ln>
          </c:spPr>
        </c:title>
        <c:majorGridlines/>
        <c:delete val="0"/>
        <c:numFmt formatCode="General" sourceLinked="1"/>
        <c:majorTickMark val="out"/>
        <c:minorTickMark val="none"/>
        <c:tickLblPos val="nextTo"/>
        <c:crossAx val="13987477"/>
        <c:crossesAt val="1"/>
        <c:crossBetween val="between"/>
        <c:dispUnits/>
      </c:valAx>
      <c:spPr>
        <a:solidFill>
          <a:srgbClr val="C0C0C0"/>
        </a:solidFill>
        <a:ln w="12700">
          <a:solidFill>
            <a:srgbClr val="808080"/>
          </a:solidFill>
        </a:ln>
      </c:spPr>
    </c:plotArea>
    <c:legend>
      <c:legendPos val="r"/>
      <c:layout>
        <c:manualLayout>
          <c:xMode val="edge"/>
          <c:yMode val="edge"/>
          <c:x val="0.208"/>
          <c:y val="0.2552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NGAO System Labor $ Spending Profile (without contingency)</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'Cost Est (then-yr)'!$B$23:$J$23</c:f>
              <c:strCache/>
            </c:strRef>
          </c:cat>
          <c:val>
            <c:numRef>
              <c:f>'Cost Est (then-yr)'!$B$29:$J$29</c:f>
              <c:numCache>
                <c:ptCount val="9"/>
                <c:pt idx="0">
                  <c:v>0</c:v>
                </c:pt>
                <c:pt idx="1">
                  <c:v>0</c:v>
                </c:pt>
                <c:pt idx="2">
                  <c:v>0</c:v>
                </c:pt>
                <c:pt idx="3">
                  <c:v>0</c:v>
                </c:pt>
                <c:pt idx="4">
                  <c:v>0</c:v>
                </c:pt>
                <c:pt idx="5">
                  <c:v>0</c:v>
                </c:pt>
                <c:pt idx="6">
                  <c:v>0</c:v>
                </c:pt>
                <c:pt idx="7">
                  <c:v>0</c:v>
                </c:pt>
                <c:pt idx="8">
                  <c:v>0</c:v>
                </c:pt>
              </c:numCache>
            </c:numRef>
          </c:val>
          <c:smooth val="0"/>
        </c:ser>
        <c:marker val="1"/>
        <c:axId val="59243823"/>
        <c:axId val="63432360"/>
      </c:lineChart>
      <c:catAx>
        <c:axId val="59243823"/>
        <c:scaling>
          <c:orientation val="minMax"/>
        </c:scaling>
        <c:axPos val="b"/>
        <c:title>
          <c:tx>
            <c:rich>
              <a:bodyPr vert="horz" rot="0" anchor="ctr"/>
              <a:lstStyle/>
              <a:p>
                <a:pPr algn="ctr">
                  <a:defRPr/>
                </a:pPr>
                <a:r>
                  <a:rPr lang="en-US" cap="none" sz="85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63432360"/>
        <c:crosses val="autoZero"/>
        <c:auto val="1"/>
        <c:lblOffset val="100"/>
        <c:noMultiLvlLbl val="0"/>
      </c:catAx>
      <c:valAx>
        <c:axId val="63432360"/>
        <c:scaling>
          <c:orientation val="minMax"/>
        </c:scaling>
        <c:axPos val="l"/>
        <c:title>
          <c:tx>
            <c:rich>
              <a:bodyPr vert="horz" rot="-5400000" anchor="ctr"/>
              <a:lstStyle/>
              <a:p>
                <a:pPr algn="ctr">
                  <a:defRPr/>
                </a:pPr>
                <a:r>
                  <a:rPr lang="en-US" cap="none" sz="850" b="1" i="0" u="none" baseline="0">
                    <a:latin typeface="Arial"/>
                    <a:ea typeface="Arial"/>
                    <a:cs typeface="Arial"/>
                  </a:rPr>
                  <a:t>Then-Year $k</a:t>
                </a:r>
              </a:p>
            </c:rich>
          </c:tx>
          <c:layout/>
          <c:overlay val="0"/>
          <c:spPr>
            <a:noFill/>
            <a:ln>
              <a:noFill/>
            </a:ln>
          </c:spPr>
        </c:title>
        <c:majorGridlines/>
        <c:delete val="0"/>
        <c:numFmt formatCode="General" sourceLinked="1"/>
        <c:majorTickMark val="out"/>
        <c:minorTickMark val="none"/>
        <c:tickLblPos val="nextTo"/>
        <c:crossAx val="5924382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5"/>
          <c:y val="0.033"/>
          <c:w val="0.8885"/>
          <c:h val="0.8615"/>
        </c:manualLayout>
      </c:layout>
      <c:scatterChart>
        <c:scatterStyle val="smoothMarker"/>
        <c:varyColors val="0"/>
        <c:ser>
          <c:idx val="0"/>
          <c:order val="0"/>
          <c:tx>
            <c:strRef>
              <c:f>'B2C Review tables'!$O$2</c:f>
              <c:strCache>
                <c:ptCount val="1"/>
                <c:pt idx="0">
                  <c:v>MOSFIRE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Pt>
            <c:idx val="5"/>
            <c:spPr>
              <a:ln w="3175">
                <a:noFill/>
              </a:ln>
            </c:spPr>
            <c:marker>
              <c:symbol val="auto"/>
            </c:marker>
          </c:dPt>
          <c:dPt>
            <c:idx val="6"/>
            <c:spPr>
              <a:ln w="3175">
                <a:noFill/>
              </a:ln>
            </c:spPr>
            <c:marker>
              <c:symbol val="auto"/>
            </c:marker>
          </c:dPt>
          <c:xVal>
            <c:numRef>
              <c:f>'B2C Review tables'!$N$3:$N$9</c:f>
              <c:numCache>
                <c:ptCount val="7"/>
                <c:pt idx="0">
                  <c:v>0</c:v>
                </c:pt>
                <c:pt idx="1">
                  <c:v>0</c:v>
                </c:pt>
                <c:pt idx="2">
                  <c:v>0</c:v>
                </c:pt>
                <c:pt idx="3">
                  <c:v>0</c:v>
                </c:pt>
                <c:pt idx="4">
                  <c:v>0</c:v>
                </c:pt>
                <c:pt idx="5">
                  <c:v>0</c:v>
                </c:pt>
                <c:pt idx="6">
                  <c:v>0</c:v>
                </c:pt>
              </c:numCache>
            </c:numRef>
          </c:xVal>
          <c:yVal>
            <c:numRef>
              <c:f>'B2C Review tables'!$O$3:$O$9</c:f>
              <c:numCache>
                <c:ptCount val="7"/>
                <c:pt idx="0">
                  <c:v>0</c:v>
                </c:pt>
                <c:pt idx="1">
                  <c:v>0</c:v>
                </c:pt>
                <c:pt idx="2">
                  <c:v>0</c:v>
                </c:pt>
                <c:pt idx="3">
                  <c:v>0</c:v>
                </c:pt>
                <c:pt idx="4">
                  <c:v>0</c:v>
                </c:pt>
                <c:pt idx="5">
                  <c:v>0</c:v>
                </c:pt>
                <c:pt idx="6">
                  <c:v>0</c:v>
                </c:pt>
              </c:numCache>
            </c:numRef>
          </c:yVal>
          <c:smooth val="1"/>
        </c:ser>
        <c:ser>
          <c:idx val="1"/>
          <c:order val="1"/>
          <c:tx>
            <c:strRef>
              <c:f>'B2C Review tables'!$P$2</c:f>
              <c:strCache>
                <c:ptCount val="1"/>
                <c:pt idx="0">
                  <c:v>H-4RG goal</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'B2C Review tables'!$N$3:$N$9</c:f>
              <c:numCache>
                <c:ptCount val="7"/>
                <c:pt idx="0">
                  <c:v>0</c:v>
                </c:pt>
                <c:pt idx="1">
                  <c:v>0</c:v>
                </c:pt>
                <c:pt idx="2">
                  <c:v>0</c:v>
                </c:pt>
                <c:pt idx="3">
                  <c:v>0</c:v>
                </c:pt>
                <c:pt idx="4">
                  <c:v>0</c:v>
                </c:pt>
                <c:pt idx="5">
                  <c:v>0</c:v>
                </c:pt>
                <c:pt idx="6">
                  <c:v>0</c:v>
                </c:pt>
              </c:numCache>
            </c:numRef>
          </c:xVal>
          <c:yVal>
            <c:numRef>
              <c:f>'B2C Review tables'!$P$3:$P$9</c:f>
              <c:numCache>
                <c:ptCount val="7"/>
                <c:pt idx="0">
                  <c:v>0</c:v>
                </c:pt>
                <c:pt idx="1">
                  <c:v>0</c:v>
                </c:pt>
                <c:pt idx="2">
                  <c:v>0</c:v>
                </c:pt>
                <c:pt idx="3">
                  <c:v>0</c:v>
                </c:pt>
                <c:pt idx="4">
                  <c:v>0</c:v>
                </c:pt>
                <c:pt idx="5">
                  <c:v>0</c:v>
                </c:pt>
                <c:pt idx="6">
                  <c:v>0</c:v>
                </c:pt>
              </c:numCache>
            </c:numRef>
          </c:yVal>
          <c:smooth val="1"/>
        </c:ser>
        <c:ser>
          <c:idx val="2"/>
          <c:order val="2"/>
          <c:tx>
            <c:strRef>
              <c:f>'B2C Review tables'!$Q$2</c:f>
              <c:strCache>
                <c:ptCount val="1"/>
                <c:pt idx="0">
                  <c:v>e2V meas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'B2C Review tables'!$N$3:$N$9</c:f>
              <c:numCache>
                <c:ptCount val="7"/>
                <c:pt idx="0">
                  <c:v>0</c:v>
                </c:pt>
                <c:pt idx="1">
                  <c:v>0</c:v>
                </c:pt>
                <c:pt idx="2">
                  <c:v>0</c:v>
                </c:pt>
                <c:pt idx="3">
                  <c:v>0</c:v>
                </c:pt>
                <c:pt idx="4">
                  <c:v>0</c:v>
                </c:pt>
                <c:pt idx="5">
                  <c:v>0</c:v>
                </c:pt>
                <c:pt idx="6">
                  <c:v>0</c:v>
                </c:pt>
              </c:numCache>
            </c:numRef>
          </c:xVal>
          <c:yVal>
            <c:numRef>
              <c:f>'B2C Review tables'!$Q$3:$Q$9</c:f>
              <c:numCache>
                <c:ptCount val="7"/>
                <c:pt idx="0">
                  <c:v>0</c:v>
                </c:pt>
                <c:pt idx="1">
                  <c:v>0</c:v>
                </c:pt>
                <c:pt idx="2">
                  <c:v>0</c:v>
                </c:pt>
                <c:pt idx="3">
                  <c:v>0</c:v>
                </c:pt>
                <c:pt idx="4">
                  <c:v>0</c:v>
                </c:pt>
                <c:pt idx="5">
                  <c:v>0</c:v>
                </c:pt>
                <c:pt idx="6">
                  <c:v>0</c:v>
                </c:pt>
              </c:numCache>
            </c:numRef>
          </c:yVal>
          <c:smooth val="1"/>
        </c:ser>
        <c:axId val="34020329"/>
        <c:axId val="37747506"/>
      </c:scatterChart>
      <c:valAx>
        <c:axId val="34020329"/>
        <c:scaling>
          <c:orientation val="minMax"/>
          <c:max val="2"/>
          <c:min val="0.75"/>
        </c:scaling>
        <c:axPos val="b"/>
        <c:title>
          <c:tx>
            <c:rich>
              <a:bodyPr vert="horz" rot="0" anchor="ctr"/>
              <a:lstStyle/>
              <a:p>
                <a:pPr algn="ctr">
                  <a:defRPr/>
                </a:pPr>
                <a:r>
                  <a:rPr lang="en-US" cap="none" sz="850" b="1" i="0" u="none" baseline="0">
                    <a:latin typeface="Arial"/>
                    <a:ea typeface="Arial"/>
                    <a:cs typeface="Arial"/>
                  </a:rPr>
                  <a:t>Wavelength (microns)</a:t>
                </a:r>
              </a:p>
            </c:rich>
          </c:tx>
          <c:layout/>
          <c:overlay val="0"/>
          <c:spPr>
            <a:noFill/>
            <a:ln>
              <a:noFill/>
            </a:ln>
          </c:spPr>
        </c:title>
        <c:delete val="0"/>
        <c:numFmt formatCode="General" sourceLinked="1"/>
        <c:majorTickMark val="out"/>
        <c:minorTickMark val="none"/>
        <c:tickLblPos val="nextTo"/>
        <c:crossAx val="37747506"/>
        <c:crosses val="autoZero"/>
        <c:crossBetween val="midCat"/>
        <c:dispUnits/>
        <c:majorUnit val="0.25"/>
      </c:valAx>
      <c:valAx>
        <c:axId val="37747506"/>
        <c:scaling>
          <c:orientation val="minMax"/>
          <c:min val="0.5"/>
        </c:scaling>
        <c:axPos val="l"/>
        <c:title>
          <c:tx>
            <c:rich>
              <a:bodyPr vert="horz" rot="-5400000" anchor="ctr"/>
              <a:lstStyle/>
              <a:p>
                <a:pPr algn="ctr">
                  <a:defRPr/>
                </a:pPr>
                <a:r>
                  <a:rPr lang="en-US" cap="none" sz="850" b="1" i="0" u="none" baseline="0">
                    <a:latin typeface="Arial"/>
                    <a:ea typeface="Arial"/>
                    <a:cs typeface="Arial"/>
                  </a:rPr>
                  <a:t>Quantum Efficiency</a:t>
                </a:r>
              </a:p>
            </c:rich>
          </c:tx>
          <c:layout/>
          <c:overlay val="0"/>
          <c:spPr>
            <a:noFill/>
            <a:ln>
              <a:noFill/>
            </a:ln>
          </c:spPr>
        </c:title>
        <c:majorGridlines/>
        <c:delete val="0"/>
        <c:numFmt formatCode="General" sourceLinked="1"/>
        <c:majorTickMark val="out"/>
        <c:minorTickMark val="none"/>
        <c:tickLblPos val="nextTo"/>
        <c:crossAx val="34020329"/>
        <c:crosses val="autoZero"/>
        <c:crossBetween val="midCat"/>
        <c:dispUnits/>
        <c:majorUnit val="0.1"/>
      </c:valAx>
      <c:spPr>
        <a:solidFill>
          <a:srgbClr val="C0C0C0"/>
        </a:solidFill>
        <a:ln w="12700">
          <a:solidFill>
            <a:srgbClr val="808080"/>
          </a:solidFill>
        </a:ln>
      </c:spPr>
    </c:plotArea>
    <c:legend>
      <c:legendPos val="r"/>
      <c:layout>
        <c:manualLayout>
          <c:xMode val="edge"/>
          <c:yMode val="edge"/>
          <c:x val="0.62475"/>
          <c:y val="0.534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NGAO Spending Profile with Descopes</a:t>
            </a:r>
          </a:p>
        </c:rich>
      </c:tx>
      <c:layout/>
      <c:spPr>
        <a:noFill/>
        <a:ln>
          <a:noFill/>
        </a:ln>
      </c:spPr>
    </c:title>
    <c:plotArea>
      <c:layout>
        <c:manualLayout>
          <c:xMode val="edge"/>
          <c:yMode val="edge"/>
          <c:x val="0.06275"/>
          <c:y val="0.145"/>
          <c:w val="0.89025"/>
          <c:h val="0.754"/>
        </c:manualLayout>
      </c:layout>
      <c:lineChart>
        <c:grouping val="standard"/>
        <c:varyColors val="0"/>
        <c:ser>
          <c:idx val="0"/>
          <c:order val="0"/>
          <c:tx>
            <c:v>System</c:v>
          </c:tx>
          <c:extLst>
            <c:ext xmlns:c14="http://schemas.microsoft.com/office/drawing/2007/8/2/chart" uri="{6F2FDCE9-48DA-4B69-8628-5D25D57E5C99}">
              <c14:invertSolidFillFmt>
                <c14:spPr>
                  <a:solidFill>
                    <a:srgbClr val="000000"/>
                  </a:solidFill>
                </c14:spPr>
              </c14:invertSolidFillFmt>
            </c:ext>
          </c:extLst>
          <c:cat>
            <c:strRef>
              <c:f>'B2C Summary Est (then-yr)'!$E$2:$M$2</c:f>
              <c:strCache/>
            </c:strRef>
          </c:cat>
          <c:val>
            <c:numRef>
              <c:f>'B2C Summary Est (then-yr)'!$E$9:$M$9</c:f>
              <c:numCache>
                <c:ptCount val="9"/>
                <c:pt idx="0">
                  <c:v>0</c:v>
                </c:pt>
                <c:pt idx="1">
                  <c:v>0</c:v>
                </c:pt>
                <c:pt idx="2">
                  <c:v>0</c:v>
                </c:pt>
                <c:pt idx="3">
                  <c:v>0</c:v>
                </c:pt>
                <c:pt idx="4">
                  <c:v>0</c:v>
                </c:pt>
                <c:pt idx="5">
                  <c:v>0</c:v>
                </c:pt>
                <c:pt idx="6">
                  <c:v>0</c:v>
                </c:pt>
                <c:pt idx="7">
                  <c:v>0</c:v>
                </c:pt>
                <c:pt idx="8">
                  <c:v>0</c:v>
                </c:pt>
              </c:numCache>
            </c:numRef>
          </c:val>
          <c:smooth val="0"/>
        </c:ser>
        <c:ser>
          <c:idx val="1"/>
          <c:order val="1"/>
          <c:tx>
            <c:v>Instruments</c:v>
          </c:tx>
          <c:extLst>
            <c:ext xmlns:c14="http://schemas.microsoft.com/office/drawing/2007/8/2/chart" uri="{6F2FDCE9-48DA-4B69-8628-5D25D57E5C99}">
              <c14:invertSolidFillFmt>
                <c14:spPr>
                  <a:solidFill>
                    <a:srgbClr val="000000"/>
                  </a:solidFill>
                </c14:spPr>
              </c14:invertSolidFillFmt>
            </c:ext>
          </c:extLst>
          <c:cat>
            <c:strRef>
              <c:f>'B2C Summary Est (then-yr)'!$E$2:$M$2</c:f>
              <c:strCache/>
            </c:strRef>
          </c:cat>
          <c:val>
            <c:numRef>
              <c:f>'B2C Summary Est (then-yr)'!$E$13:$M$13</c:f>
              <c:numCache>
                <c:ptCount val="9"/>
                <c:pt idx="0">
                  <c:v>0</c:v>
                </c:pt>
                <c:pt idx="1">
                  <c:v>0</c:v>
                </c:pt>
                <c:pt idx="2">
                  <c:v>0</c:v>
                </c:pt>
                <c:pt idx="3">
                  <c:v>0</c:v>
                </c:pt>
                <c:pt idx="4">
                  <c:v>0</c:v>
                </c:pt>
                <c:pt idx="5">
                  <c:v>0</c:v>
                </c:pt>
                <c:pt idx="6">
                  <c:v>0</c:v>
                </c:pt>
                <c:pt idx="7">
                  <c:v>0</c:v>
                </c:pt>
                <c:pt idx="8">
                  <c:v>0</c:v>
                </c:pt>
              </c:numCache>
            </c:numRef>
          </c:val>
          <c:smooth val="0"/>
        </c:ser>
        <c:ser>
          <c:idx val="2"/>
          <c:order val="2"/>
          <c:tx>
            <c:v>Total</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'B2C Summary Est (then-yr)'!$E$2:$M$2</c:f>
              <c:strCache/>
            </c:strRef>
          </c:cat>
          <c:val>
            <c:numRef>
              <c:f>'B2C Summary Est (then-yr)'!$E$14:$M$14</c:f>
              <c:numCache>
                <c:ptCount val="9"/>
                <c:pt idx="0">
                  <c:v>0</c:v>
                </c:pt>
                <c:pt idx="1">
                  <c:v>0</c:v>
                </c:pt>
                <c:pt idx="2">
                  <c:v>0</c:v>
                </c:pt>
                <c:pt idx="3">
                  <c:v>0</c:v>
                </c:pt>
                <c:pt idx="4">
                  <c:v>0</c:v>
                </c:pt>
                <c:pt idx="5">
                  <c:v>0</c:v>
                </c:pt>
                <c:pt idx="6">
                  <c:v>0</c:v>
                </c:pt>
                <c:pt idx="7">
                  <c:v>0</c:v>
                </c:pt>
                <c:pt idx="8">
                  <c:v>0</c:v>
                </c:pt>
              </c:numCache>
            </c:numRef>
          </c:val>
          <c:smooth val="0"/>
        </c:ser>
        <c:marker val="1"/>
        <c:axId val="4183235"/>
        <c:axId val="37649116"/>
      </c:lineChart>
      <c:catAx>
        <c:axId val="4183235"/>
        <c:scaling>
          <c:orientation val="minMax"/>
        </c:scaling>
        <c:axPos val="b"/>
        <c:title>
          <c:tx>
            <c:rich>
              <a:bodyPr vert="horz" rot="0" anchor="ctr"/>
              <a:lstStyle/>
              <a:p>
                <a:pPr algn="ctr">
                  <a:defRPr/>
                </a:pPr>
                <a:r>
                  <a:rPr lang="en-US" cap="none" sz="8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37649116"/>
        <c:crosses val="autoZero"/>
        <c:auto val="1"/>
        <c:lblOffset val="100"/>
        <c:noMultiLvlLbl val="0"/>
      </c:catAx>
      <c:valAx>
        <c:axId val="37649116"/>
        <c:scaling>
          <c:orientation val="minMax"/>
        </c:scaling>
        <c:axPos val="l"/>
        <c:title>
          <c:tx>
            <c:rich>
              <a:bodyPr vert="horz" rot="-5400000" anchor="ctr"/>
              <a:lstStyle/>
              <a:p>
                <a:pPr algn="ctr">
                  <a:defRPr/>
                </a:pPr>
                <a:r>
                  <a:rPr lang="en-US" cap="none" sz="800" b="1" i="0" u="none" baseline="0">
                    <a:latin typeface="Arial"/>
                    <a:ea typeface="Arial"/>
                    <a:cs typeface="Arial"/>
                  </a:rPr>
                  <a:t>The-Year $k</a:t>
                </a:r>
              </a:p>
            </c:rich>
          </c:tx>
          <c:layout/>
          <c:overlay val="0"/>
          <c:spPr>
            <a:noFill/>
            <a:ln>
              <a:noFill/>
            </a:ln>
          </c:spPr>
        </c:title>
        <c:majorGridlines/>
        <c:delete val="0"/>
        <c:numFmt formatCode="General" sourceLinked="1"/>
        <c:majorTickMark val="out"/>
        <c:minorTickMark val="none"/>
        <c:tickLblPos val="nextTo"/>
        <c:crossAx val="4183235"/>
        <c:crossesAt val="1"/>
        <c:crossBetween val="between"/>
        <c:dispUnits/>
      </c:valAx>
      <c:spPr>
        <a:solidFill>
          <a:srgbClr val="C0C0C0"/>
        </a:solidFill>
        <a:ln w="12700">
          <a:solidFill>
            <a:srgbClr val="808080"/>
          </a:solidFill>
        </a:ln>
      </c:spPr>
    </c:plotArea>
    <c:legend>
      <c:legendPos val="r"/>
      <c:layout>
        <c:manualLayout>
          <c:xMode val="edge"/>
          <c:yMode val="edge"/>
          <c:x val="0.145"/>
          <c:y val="0.252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NGAO Labor (excluding instruments)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'B2C Summary Est (then-yr)'!$G$22:$M$22</c:f>
              <c:strCache/>
            </c:strRef>
          </c:cat>
          <c:val>
            <c:numRef>
              <c:f>'B2C Summary Est (then-yr)'!$G$27:$M$27</c:f>
              <c:numCache>
                <c:ptCount val="7"/>
                <c:pt idx="0">
                  <c:v>0</c:v>
                </c:pt>
                <c:pt idx="1">
                  <c:v>0</c:v>
                </c:pt>
                <c:pt idx="2">
                  <c:v>0</c:v>
                </c:pt>
                <c:pt idx="3">
                  <c:v>0</c:v>
                </c:pt>
                <c:pt idx="4">
                  <c:v>0</c:v>
                </c:pt>
                <c:pt idx="5">
                  <c:v>0</c:v>
                </c:pt>
                <c:pt idx="6">
                  <c:v>0</c:v>
                </c:pt>
              </c:numCache>
            </c:numRef>
          </c:val>
          <c:smooth val="0"/>
        </c:ser>
        <c:marker val="1"/>
        <c:axId val="3297725"/>
        <c:axId val="29679526"/>
      </c:lineChart>
      <c:catAx>
        <c:axId val="3297725"/>
        <c:scaling>
          <c:orientation val="minMax"/>
        </c:scaling>
        <c:axPos val="b"/>
        <c:title>
          <c:tx>
            <c:rich>
              <a:bodyPr vert="horz" rot="0" anchor="ctr"/>
              <a:lstStyle/>
              <a:p>
                <a:pPr algn="ctr">
                  <a:defRPr/>
                </a:pPr>
                <a:r>
                  <a:rPr lang="en-US" cap="none" sz="87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29679526"/>
        <c:crosses val="autoZero"/>
        <c:auto val="1"/>
        <c:lblOffset val="100"/>
        <c:noMultiLvlLbl val="0"/>
      </c:catAx>
      <c:valAx>
        <c:axId val="29679526"/>
        <c:scaling>
          <c:orientation val="minMax"/>
        </c:scaling>
        <c:axPos val="l"/>
        <c:title>
          <c:tx>
            <c:rich>
              <a:bodyPr vert="horz" rot="-5400000" anchor="ctr"/>
              <a:lstStyle/>
              <a:p>
                <a:pPr algn="ctr">
                  <a:defRPr/>
                </a:pPr>
                <a:r>
                  <a:rPr lang="en-US" cap="none" sz="875" b="1" i="0" u="none" baseline="0">
                    <a:latin typeface="Arial"/>
                    <a:ea typeface="Arial"/>
                    <a:cs typeface="Arial"/>
                  </a:rPr>
                  <a:t>Labor Hours</a:t>
                </a:r>
              </a:p>
            </c:rich>
          </c:tx>
          <c:layout/>
          <c:overlay val="0"/>
          <c:spPr>
            <a:noFill/>
            <a:ln>
              <a:noFill/>
            </a:ln>
          </c:spPr>
        </c:title>
        <c:majorGridlines/>
        <c:delete val="0"/>
        <c:numFmt formatCode="General" sourceLinked="1"/>
        <c:majorTickMark val="out"/>
        <c:minorTickMark val="none"/>
        <c:tickLblPos val="nextTo"/>
        <c:crossAx val="329772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0</xdr:row>
      <xdr:rowOff>47625</xdr:rowOff>
    </xdr:from>
    <xdr:to>
      <xdr:col>20</xdr:col>
      <xdr:colOff>76200</xdr:colOff>
      <xdr:row>23</xdr:row>
      <xdr:rowOff>28575</xdr:rowOff>
    </xdr:to>
    <xdr:graphicFrame>
      <xdr:nvGraphicFramePr>
        <xdr:cNvPr id="1" name="Chart 4"/>
        <xdr:cNvGraphicFramePr/>
      </xdr:nvGraphicFramePr>
      <xdr:xfrm>
        <a:off x="6896100" y="47625"/>
        <a:ext cx="4895850" cy="3705225"/>
      </xdr:xfrm>
      <a:graphic>
        <a:graphicData uri="http://schemas.openxmlformats.org/drawingml/2006/chart">
          <c:chart xmlns:c="http://schemas.openxmlformats.org/drawingml/2006/chart" r:id="rId1"/>
        </a:graphicData>
      </a:graphic>
    </xdr:graphicFrame>
    <xdr:clientData/>
  </xdr:twoCellAnchor>
  <xdr:twoCellAnchor>
    <xdr:from>
      <xdr:col>12</xdr:col>
      <xdr:colOff>57150</xdr:colOff>
      <xdr:row>23</xdr:row>
      <xdr:rowOff>57150</xdr:rowOff>
    </xdr:from>
    <xdr:to>
      <xdr:col>20</xdr:col>
      <xdr:colOff>95250</xdr:colOff>
      <xdr:row>45</xdr:row>
      <xdr:rowOff>95250</xdr:rowOff>
    </xdr:to>
    <xdr:graphicFrame>
      <xdr:nvGraphicFramePr>
        <xdr:cNvPr id="2" name="Chart 18"/>
        <xdr:cNvGraphicFramePr/>
      </xdr:nvGraphicFramePr>
      <xdr:xfrm>
        <a:off x="6896100" y="3781425"/>
        <a:ext cx="4914900" cy="36004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31</xdr:row>
      <xdr:rowOff>9525</xdr:rowOff>
    </xdr:from>
    <xdr:to>
      <xdr:col>11</xdr:col>
      <xdr:colOff>571500</xdr:colOff>
      <xdr:row>49</xdr:row>
      <xdr:rowOff>66675</xdr:rowOff>
    </xdr:to>
    <xdr:graphicFrame>
      <xdr:nvGraphicFramePr>
        <xdr:cNvPr id="1" name="Chart 2"/>
        <xdr:cNvGraphicFramePr/>
      </xdr:nvGraphicFramePr>
      <xdr:xfrm>
        <a:off x="7553325" y="5353050"/>
        <a:ext cx="4171950" cy="2971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0</xdr:row>
      <xdr:rowOff>142875</xdr:rowOff>
    </xdr:from>
    <xdr:to>
      <xdr:col>23</xdr:col>
      <xdr:colOff>200025</xdr:colOff>
      <xdr:row>20</xdr:row>
      <xdr:rowOff>9525</xdr:rowOff>
    </xdr:to>
    <xdr:graphicFrame>
      <xdr:nvGraphicFramePr>
        <xdr:cNvPr id="1" name="Chart 9"/>
        <xdr:cNvGraphicFramePr/>
      </xdr:nvGraphicFramePr>
      <xdr:xfrm>
        <a:off x="7010400" y="142875"/>
        <a:ext cx="4943475" cy="3105150"/>
      </xdr:xfrm>
      <a:graphic>
        <a:graphicData uri="http://schemas.openxmlformats.org/drawingml/2006/chart">
          <c:chart xmlns:c="http://schemas.openxmlformats.org/drawingml/2006/chart" r:id="rId1"/>
        </a:graphicData>
      </a:graphic>
    </xdr:graphicFrame>
    <xdr:clientData/>
  </xdr:twoCellAnchor>
  <xdr:twoCellAnchor>
    <xdr:from>
      <xdr:col>15</xdr:col>
      <xdr:colOff>133350</xdr:colOff>
      <xdr:row>21</xdr:row>
      <xdr:rowOff>123825</xdr:rowOff>
    </xdr:from>
    <xdr:to>
      <xdr:col>23</xdr:col>
      <xdr:colOff>190500</xdr:colOff>
      <xdr:row>41</xdr:row>
      <xdr:rowOff>38100</xdr:rowOff>
    </xdr:to>
    <xdr:graphicFrame>
      <xdr:nvGraphicFramePr>
        <xdr:cNvPr id="2" name="Chart 18"/>
        <xdr:cNvGraphicFramePr/>
      </xdr:nvGraphicFramePr>
      <xdr:xfrm>
        <a:off x="7010400" y="3524250"/>
        <a:ext cx="4933950" cy="3467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6"/>
  <sheetViews>
    <sheetView tabSelected="1" workbookViewId="0" topLeftCell="A1">
      <selection activeCell="B30" sqref="B30"/>
    </sheetView>
  </sheetViews>
  <sheetFormatPr defaultColWidth="9.140625" defaultRowHeight="12.75"/>
  <cols>
    <col min="1" max="1" width="24.57421875" style="0" customWidth="1"/>
    <col min="2" max="2" width="56.00390625" style="0" customWidth="1"/>
    <col min="3" max="3" width="9.140625" style="1" customWidth="1"/>
  </cols>
  <sheetData>
    <row r="1" spans="1:3" ht="12.75">
      <c r="A1" s="64" t="s">
        <v>96</v>
      </c>
      <c r="B1" s="64" t="s">
        <v>243</v>
      </c>
      <c r="C1" s="64" t="s">
        <v>114</v>
      </c>
    </row>
    <row r="2" spans="1:3" ht="12.75">
      <c r="A2" t="s">
        <v>97</v>
      </c>
      <c r="B2" t="s">
        <v>110</v>
      </c>
      <c r="C2" s="1" t="s">
        <v>691</v>
      </c>
    </row>
    <row r="3" spans="1:3" ht="12.75">
      <c r="A3" t="s">
        <v>98</v>
      </c>
      <c r="B3" t="s">
        <v>616</v>
      </c>
      <c r="C3" s="1" t="s">
        <v>115</v>
      </c>
    </row>
    <row r="4" spans="1:3" ht="12.75">
      <c r="A4" t="s">
        <v>99</v>
      </c>
      <c r="B4" t="s">
        <v>617</v>
      </c>
      <c r="C4" s="1" t="s">
        <v>115</v>
      </c>
    </row>
    <row r="5" spans="1:3" ht="12.75">
      <c r="A5" t="s">
        <v>100</v>
      </c>
      <c r="B5" t="s">
        <v>618</v>
      </c>
      <c r="C5" s="1" t="s">
        <v>115</v>
      </c>
    </row>
    <row r="6" spans="1:2" ht="12.75">
      <c r="A6" t="s">
        <v>101</v>
      </c>
      <c r="B6" t="s">
        <v>619</v>
      </c>
    </row>
    <row r="7" spans="1:2" ht="12.75">
      <c r="A7" t="s">
        <v>102</v>
      </c>
      <c r="B7" t="s">
        <v>620</v>
      </c>
    </row>
    <row r="8" spans="1:2" ht="12.75">
      <c r="A8" t="s">
        <v>103</v>
      </c>
      <c r="B8" t="s">
        <v>621</v>
      </c>
    </row>
    <row r="9" spans="1:3" ht="12.75">
      <c r="A9" t="s">
        <v>104</v>
      </c>
      <c r="B9" t="s">
        <v>113</v>
      </c>
      <c r="C9" s="1" t="s">
        <v>692</v>
      </c>
    </row>
    <row r="10" spans="1:3" ht="12.75">
      <c r="A10" t="s">
        <v>105</v>
      </c>
      <c r="B10" t="s">
        <v>111</v>
      </c>
      <c r="C10" s="1" t="s">
        <v>691</v>
      </c>
    </row>
    <row r="11" spans="1:3" ht="12.75">
      <c r="A11" t="s">
        <v>106</v>
      </c>
      <c r="B11" t="s">
        <v>622</v>
      </c>
      <c r="C11" s="1" t="s">
        <v>691</v>
      </c>
    </row>
    <row r="12" spans="1:3" ht="12.75">
      <c r="A12" t="s">
        <v>107</v>
      </c>
      <c r="B12" t="s">
        <v>112</v>
      </c>
      <c r="C12" s="1" t="s">
        <v>115</v>
      </c>
    </row>
    <row r="13" spans="1:3" ht="12.75">
      <c r="A13" t="s">
        <v>108</v>
      </c>
      <c r="B13" s="65" t="s">
        <v>109</v>
      </c>
      <c r="C13" s="1" t="s">
        <v>115</v>
      </c>
    </row>
    <row r="16" ht="12.75">
      <c r="A16" s="65" t="s">
        <v>26</v>
      </c>
    </row>
    <row r="17" ht="12.75">
      <c r="A17" s="317" t="s">
        <v>23</v>
      </c>
    </row>
    <row r="18" ht="12.75">
      <c r="A18" s="317" t="s">
        <v>24</v>
      </c>
    </row>
    <row r="19" ht="12.75">
      <c r="A19" s="317" t="s">
        <v>25</v>
      </c>
    </row>
    <row r="20" ht="12.75">
      <c r="A20" s="317" t="s">
        <v>27</v>
      </c>
    </row>
    <row r="21" ht="12.75">
      <c r="A21" s="317" t="s">
        <v>28</v>
      </c>
    </row>
    <row r="22" ht="12.75">
      <c r="A22" s="317" t="s">
        <v>29</v>
      </c>
    </row>
    <row r="23" ht="12.75">
      <c r="A23" s="317" t="s">
        <v>30</v>
      </c>
    </row>
    <row r="24" ht="12.75">
      <c r="A24" s="317" t="s">
        <v>31</v>
      </c>
    </row>
    <row r="25" ht="12.75">
      <c r="A25" s="317" t="s">
        <v>32</v>
      </c>
    </row>
    <row r="26" ht="12.75">
      <c r="A26" s="317" t="s">
        <v>33</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D108"/>
  <sheetViews>
    <sheetView workbookViewId="0" topLeftCell="A1">
      <pane xSplit="10470" ySplit="1020" topLeftCell="AI66" activePane="bottomLeft" state="split"/>
      <selection pane="topLeft" activeCell="A2" sqref="A2:E79"/>
      <selection pane="topRight" activeCell="A1" sqref="A1:BD16384"/>
      <selection pane="bottomLeft" activeCell="A5" sqref="A5:IV107"/>
      <selection pane="bottomRight" activeCell="AN43" sqref="AN43"/>
    </sheetView>
  </sheetViews>
  <sheetFormatPr defaultColWidth="9.140625" defaultRowHeight="12.75"/>
  <cols>
    <col min="1" max="1" width="5.8515625" style="0" customWidth="1"/>
    <col min="2" max="2" width="26.57421875" style="0" customWidth="1"/>
    <col min="3" max="3" width="7.421875" style="0" customWidth="1"/>
    <col min="4" max="4" width="5.7109375" style="0" customWidth="1"/>
    <col min="5" max="5" width="6.140625" style="0" customWidth="1"/>
    <col min="6" max="6" width="6.7109375" style="0" customWidth="1"/>
    <col min="8" max="8" width="7.00390625" style="0" customWidth="1"/>
    <col min="9" max="9" width="7.57421875" style="0" customWidth="1"/>
    <col min="10" max="10" width="7.28125" style="0" customWidth="1"/>
    <col min="11" max="11" width="6.57421875" style="0" customWidth="1"/>
    <col min="12" max="12" width="6.421875" style="0" customWidth="1"/>
    <col min="13" max="13" width="4.7109375" style="0" customWidth="1"/>
    <col min="14" max="14" width="7.421875" style="0" customWidth="1"/>
    <col min="15" max="15" width="6.140625" style="0" customWidth="1"/>
    <col min="16" max="16" width="6.421875" style="0" customWidth="1"/>
    <col min="17" max="17" width="7.140625" style="0" customWidth="1"/>
    <col min="18" max="18" width="8.8515625" style="0" customWidth="1"/>
    <col min="19" max="19" width="7.00390625" style="0" customWidth="1"/>
    <col min="20" max="20" width="7.8515625" style="0" customWidth="1"/>
    <col min="21" max="21" width="7.421875" style="0" customWidth="1"/>
    <col min="22" max="22" width="7.140625" style="0" customWidth="1"/>
    <col min="23" max="23" width="6.421875" style="0" customWidth="1"/>
    <col min="24" max="24" width="4.7109375" style="0" customWidth="1"/>
    <col min="34" max="34" width="6.421875" style="0" customWidth="1"/>
    <col min="35" max="35" width="4.7109375" style="0" customWidth="1"/>
    <col min="45" max="45" width="6.421875" style="0" customWidth="1"/>
    <col min="46" max="46" width="4.7109375" style="0" customWidth="1"/>
  </cols>
  <sheetData>
    <row r="1" spans="2:56" ht="12.75">
      <c r="B1" s="103"/>
      <c r="C1" s="286" t="s">
        <v>685</v>
      </c>
      <c r="D1" s="286"/>
      <c r="E1" s="286"/>
      <c r="F1" s="286"/>
      <c r="G1" s="286"/>
      <c r="H1" s="286"/>
      <c r="I1" s="286"/>
      <c r="J1" s="286"/>
      <c r="K1" s="286"/>
      <c r="L1" s="286"/>
      <c r="N1" s="286" t="s">
        <v>684</v>
      </c>
      <c r="O1" s="286"/>
      <c r="P1" s="286"/>
      <c r="Q1" s="286"/>
      <c r="R1" s="286"/>
      <c r="S1" s="286"/>
      <c r="T1" s="286"/>
      <c r="U1" s="286"/>
      <c r="V1" s="286"/>
      <c r="W1" s="286"/>
      <c r="Y1" s="286" t="s">
        <v>686</v>
      </c>
      <c r="Z1" s="286"/>
      <c r="AA1" s="286"/>
      <c r="AB1" s="286"/>
      <c r="AC1" s="286"/>
      <c r="AD1" s="286"/>
      <c r="AE1" s="286"/>
      <c r="AF1" s="286"/>
      <c r="AG1" s="286"/>
      <c r="AH1" s="286"/>
      <c r="AJ1" s="286" t="s">
        <v>687</v>
      </c>
      <c r="AK1" s="286"/>
      <c r="AL1" s="286"/>
      <c r="AM1" s="286"/>
      <c r="AN1" s="286"/>
      <c r="AO1" s="286"/>
      <c r="AP1" s="286"/>
      <c r="AQ1" s="286"/>
      <c r="AR1" s="286"/>
      <c r="AS1" s="286"/>
      <c r="AU1" s="286" t="s">
        <v>688</v>
      </c>
      <c r="AV1" s="286"/>
      <c r="AW1" s="286"/>
      <c r="AX1" s="286"/>
      <c r="AY1" s="286"/>
      <c r="AZ1" s="286"/>
      <c r="BA1" s="286"/>
      <c r="BB1" s="286"/>
      <c r="BC1" s="286"/>
      <c r="BD1" s="286"/>
    </row>
    <row r="2" spans="1:55" ht="12.75">
      <c r="A2" s="3"/>
      <c r="B2" s="4"/>
      <c r="C2" s="287" t="s">
        <v>843</v>
      </c>
      <c r="D2" s="287"/>
      <c r="E2" s="287" t="s">
        <v>838</v>
      </c>
      <c r="F2" s="287" t="s">
        <v>844</v>
      </c>
      <c r="G2" s="287"/>
      <c r="H2" s="287"/>
      <c r="I2" s="287"/>
      <c r="J2" s="287"/>
      <c r="K2" s="288" t="s">
        <v>845</v>
      </c>
      <c r="N2" s="287" t="s">
        <v>843</v>
      </c>
      <c r="O2" s="287"/>
      <c r="P2" s="287" t="s">
        <v>838</v>
      </c>
      <c r="Q2" s="287" t="s">
        <v>844</v>
      </c>
      <c r="R2" s="287"/>
      <c r="S2" s="287"/>
      <c r="T2" s="287"/>
      <c r="U2" s="287"/>
      <c r="V2" s="288" t="s">
        <v>682</v>
      </c>
      <c r="Y2" s="287" t="s">
        <v>843</v>
      </c>
      <c r="Z2" s="287"/>
      <c r="AA2" s="287" t="s">
        <v>838</v>
      </c>
      <c r="AB2" s="287" t="s">
        <v>844</v>
      </c>
      <c r="AC2" s="287"/>
      <c r="AD2" s="287"/>
      <c r="AE2" s="287"/>
      <c r="AF2" s="287"/>
      <c r="AG2" s="288" t="s">
        <v>682</v>
      </c>
      <c r="AJ2" s="287" t="s">
        <v>843</v>
      </c>
      <c r="AK2" s="287"/>
      <c r="AL2" s="287" t="s">
        <v>838</v>
      </c>
      <c r="AM2" s="287" t="s">
        <v>844</v>
      </c>
      <c r="AN2" s="287"/>
      <c r="AO2" s="287"/>
      <c r="AP2" s="287"/>
      <c r="AQ2" s="287"/>
      <c r="AR2" s="288" t="s">
        <v>682</v>
      </c>
      <c r="AU2" s="287" t="s">
        <v>843</v>
      </c>
      <c r="AV2" s="287"/>
      <c r="AW2" s="287" t="s">
        <v>838</v>
      </c>
      <c r="AX2" s="287" t="s">
        <v>844</v>
      </c>
      <c r="AY2" s="287"/>
      <c r="AZ2" s="287"/>
      <c r="BA2" s="287"/>
      <c r="BB2" s="287"/>
      <c r="BC2" s="288" t="s">
        <v>682</v>
      </c>
    </row>
    <row r="3" spans="1:55" ht="12.75">
      <c r="A3" s="6"/>
      <c r="B3" s="7"/>
      <c r="C3" s="5" t="s">
        <v>846</v>
      </c>
      <c r="D3" s="5" t="s">
        <v>847</v>
      </c>
      <c r="E3" s="287"/>
      <c r="F3" s="5" t="s">
        <v>843</v>
      </c>
      <c r="G3" s="5" t="s">
        <v>840</v>
      </c>
      <c r="H3" s="5" t="s">
        <v>848</v>
      </c>
      <c r="I3" s="5" t="s">
        <v>841</v>
      </c>
      <c r="J3" s="5" t="s">
        <v>839</v>
      </c>
      <c r="K3" s="288"/>
      <c r="N3" s="5" t="s">
        <v>846</v>
      </c>
      <c r="O3" s="5" t="s">
        <v>847</v>
      </c>
      <c r="P3" s="287"/>
      <c r="Q3" s="5" t="s">
        <v>843</v>
      </c>
      <c r="R3" s="5" t="s">
        <v>840</v>
      </c>
      <c r="S3" s="5" t="s">
        <v>848</v>
      </c>
      <c r="T3" s="5" t="s">
        <v>841</v>
      </c>
      <c r="U3" s="5" t="s">
        <v>839</v>
      </c>
      <c r="V3" s="288"/>
      <c r="Y3" s="5" t="s">
        <v>846</v>
      </c>
      <c r="Z3" s="5" t="s">
        <v>847</v>
      </c>
      <c r="AA3" s="287"/>
      <c r="AB3" s="5" t="s">
        <v>843</v>
      </c>
      <c r="AC3" s="5" t="s">
        <v>840</v>
      </c>
      <c r="AD3" s="5" t="s">
        <v>848</v>
      </c>
      <c r="AE3" s="5" t="s">
        <v>841</v>
      </c>
      <c r="AF3" s="5" t="s">
        <v>839</v>
      </c>
      <c r="AG3" s="288"/>
      <c r="AJ3" s="5" t="s">
        <v>846</v>
      </c>
      <c r="AK3" s="5" t="s">
        <v>847</v>
      </c>
      <c r="AL3" s="287"/>
      <c r="AM3" s="5" t="s">
        <v>843</v>
      </c>
      <c r="AN3" s="5" t="s">
        <v>840</v>
      </c>
      <c r="AO3" s="5" t="s">
        <v>848</v>
      </c>
      <c r="AP3" s="5" t="s">
        <v>841</v>
      </c>
      <c r="AQ3" s="5" t="s">
        <v>839</v>
      </c>
      <c r="AR3" s="288"/>
      <c r="AU3" s="5" t="s">
        <v>846</v>
      </c>
      <c r="AV3" s="5" t="s">
        <v>847</v>
      </c>
      <c r="AW3" s="287"/>
      <c r="AX3" s="5" t="s">
        <v>843</v>
      </c>
      <c r="AY3" s="5" t="s">
        <v>840</v>
      </c>
      <c r="AZ3" s="5" t="s">
        <v>848</v>
      </c>
      <c r="BA3" s="5" t="s">
        <v>841</v>
      </c>
      <c r="BB3" s="5" t="s">
        <v>839</v>
      </c>
      <c r="BC3" s="288"/>
    </row>
    <row r="4" spans="1:56" ht="12.75">
      <c r="A4" s="8">
        <v>2</v>
      </c>
      <c r="B4" s="9" t="s">
        <v>842</v>
      </c>
      <c r="C4" s="10"/>
      <c r="D4" s="10"/>
      <c r="E4" s="10"/>
      <c r="F4" s="10"/>
      <c r="G4" s="10"/>
      <c r="H4" s="10"/>
      <c r="I4" s="10"/>
      <c r="J4" s="10"/>
      <c r="K4" s="11">
        <f>L4/L$108</f>
        <v>0.113328627173758</v>
      </c>
      <c r="L4" s="12">
        <f>SUM(J5:J11)</f>
        <v>4543.704974272672</v>
      </c>
      <c r="N4" s="10"/>
      <c r="O4" s="10"/>
      <c r="P4" s="10"/>
      <c r="Q4" s="10"/>
      <c r="R4" s="10"/>
      <c r="S4" s="10"/>
      <c r="T4" s="10"/>
      <c r="U4" s="10"/>
      <c r="V4" s="10"/>
      <c r="W4" s="12">
        <f>SUM(U5:U11)</f>
        <v>886.9255950189241</v>
      </c>
      <c r="Y4" s="10"/>
      <c r="Z4" s="10"/>
      <c r="AA4" s="10"/>
      <c r="AB4" s="10"/>
      <c r="AC4" s="10"/>
      <c r="AD4" s="10"/>
      <c r="AE4" s="10"/>
      <c r="AF4" s="10"/>
      <c r="AG4" s="10"/>
      <c r="AH4" s="12">
        <f>SUM(AF5:AF11)</f>
        <v>1278.7020647746308</v>
      </c>
      <c r="AJ4" s="10"/>
      <c r="AK4" s="10"/>
      <c r="AL4" s="10"/>
      <c r="AM4" s="10"/>
      <c r="AN4" s="10"/>
      <c r="AO4" s="10"/>
      <c r="AP4" s="10"/>
      <c r="AQ4" s="10"/>
      <c r="AR4" s="10"/>
      <c r="AS4" s="12">
        <f>SUM(AQ5:AQ11)</f>
        <v>1679.5527054011654</v>
      </c>
      <c r="AU4" s="10"/>
      <c r="AV4" s="10"/>
      <c r="AW4" s="10"/>
      <c r="AX4" s="10"/>
      <c r="AY4" s="10"/>
      <c r="AZ4" s="10"/>
      <c r="BA4" s="10"/>
      <c r="BB4" s="10"/>
      <c r="BC4" s="10"/>
      <c r="BD4" s="12">
        <f>SUM(BB5:BB11)</f>
        <v>698.5246090779513</v>
      </c>
    </row>
    <row r="5" spans="1:56" ht="12.75">
      <c r="A5" s="13">
        <v>2.1</v>
      </c>
      <c r="B5" s="13" t="s">
        <v>849</v>
      </c>
      <c r="C5" s="14">
        <f aca="true" t="shared" si="0" ref="C5:E11">SUM(N5,Y5,AJ5,AU5)</f>
        <v>4390</v>
      </c>
      <c r="D5" s="15">
        <f t="shared" si="0"/>
        <v>2.438888888888889</v>
      </c>
      <c r="E5" s="14">
        <f t="shared" si="0"/>
        <v>5</v>
      </c>
      <c r="F5" s="14">
        <f>SUM(Q5,AB5,AM5,AX5)</f>
        <v>420.61103888888897</v>
      </c>
      <c r="G5" s="14">
        <f>SUM(R5,AC5,AN5,AY5)</f>
        <v>0</v>
      </c>
      <c r="H5" s="14">
        <f>SUM(S5,AD5,AO5,AZ5)</f>
        <v>18.858675537109374</v>
      </c>
      <c r="I5" s="14">
        <f>SUM(T5,AE5,AP5,BA5)</f>
        <v>21.97348604873037</v>
      </c>
      <c r="J5" s="14">
        <f>SUM(F5:I5)</f>
        <v>461.4432004747287</v>
      </c>
      <c r="K5" s="16"/>
      <c r="L5" s="17"/>
      <c r="N5" s="14">
        <v>1570</v>
      </c>
      <c r="O5" s="15">
        <f>N5/1800</f>
        <v>0.8722222222222222</v>
      </c>
      <c r="P5" s="14">
        <v>0</v>
      </c>
      <c r="Q5" s="14">
        <v>157.8079166666667</v>
      </c>
      <c r="R5" s="14">
        <v>0</v>
      </c>
      <c r="S5" s="14">
        <v>0</v>
      </c>
      <c r="T5" s="14">
        <v>7.890395950909395</v>
      </c>
      <c r="U5" s="14">
        <f>SUM(Q5:T5)</f>
        <v>165.6983126175761</v>
      </c>
      <c r="V5" s="16">
        <f>U5/$J5</f>
        <v>0.3590871258848481</v>
      </c>
      <c r="W5" s="17"/>
      <c r="Y5" s="14">
        <v>1900</v>
      </c>
      <c r="Z5" s="15">
        <f>Y5/1800</f>
        <v>1.0555555555555556</v>
      </c>
      <c r="AA5" s="14">
        <v>1</v>
      </c>
      <c r="AB5" s="14">
        <v>186.21311111111112</v>
      </c>
      <c r="AC5" s="14">
        <v>0</v>
      </c>
      <c r="AD5" s="14">
        <v>3.771735107421875</v>
      </c>
      <c r="AE5" s="14">
        <v>9.49924245247639</v>
      </c>
      <c r="AF5" s="14">
        <f>SUM(AB5:AE5)</f>
        <v>199.48408867100937</v>
      </c>
      <c r="AG5" s="16">
        <f>AF5/$J5</f>
        <v>0.4323047527101535</v>
      </c>
      <c r="AH5" s="17"/>
      <c r="AJ5" s="14">
        <v>760</v>
      </c>
      <c r="AK5" s="15">
        <f>AJ5/1800</f>
        <v>0.4222222222222222</v>
      </c>
      <c r="AL5" s="14">
        <v>4</v>
      </c>
      <c r="AM5" s="14">
        <v>61.7891</v>
      </c>
      <c r="AN5" s="14">
        <v>0</v>
      </c>
      <c r="AO5" s="14">
        <v>15.0869404296875</v>
      </c>
      <c r="AP5" s="14">
        <v>3.8438020787614886</v>
      </c>
      <c r="AQ5" s="14">
        <f>SUM(AM5:AP5)</f>
        <v>80.71984250844898</v>
      </c>
      <c r="AR5" s="16">
        <f>AQ5/$J5</f>
        <v>0.1749290972873912</v>
      </c>
      <c r="AS5" s="17"/>
      <c r="AU5" s="14">
        <v>160</v>
      </c>
      <c r="AV5" s="15">
        <f>AU5/1800</f>
        <v>0.08888888888888889</v>
      </c>
      <c r="AW5" s="14">
        <v>0</v>
      </c>
      <c r="AX5" s="14">
        <v>14.800911111111112</v>
      </c>
      <c r="AY5" s="14">
        <v>0</v>
      </c>
      <c r="AZ5" s="14">
        <v>0</v>
      </c>
      <c r="BA5" s="14">
        <v>0.7400455665830937</v>
      </c>
      <c r="BB5" s="14">
        <f>SUM(AX5:BA5)</f>
        <v>15.540956677694206</v>
      </c>
      <c r="BC5" s="16">
        <f>BB5/$J5</f>
        <v>0.03367902411760712</v>
      </c>
      <c r="BD5" s="17"/>
    </row>
    <row r="6" spans="1:56" ht="12.75">
      <c r="A6" s="18">
        <v>2.2</v>
      </c>
      <c r="B6" s="13" t="s">
        <v>850</v>
      </c>
      <c r="C6" s="14">
        <f t="shared" si="0"/>
        <v>8249.5</v>
      </c>
      <c r="D6" s="15">
        <f t="shared" si="0"/>
        <v>4.583055555555556</v>
      </c>
      <c r="E6" s="14">
        <f t="shared" si="0"/>
        <v>75.4</v>
      </c>
      <c r="F6" s="14">
        <f aca="true" t="shared" si="1" ref="F6:F11">SUM(Q6,AB6,AM6,AX6)</f>
        <v>756.1233494444447</v>
      </c>
      <c r="G6" s="14">
        <f aca="true" t="shared" si="2" ref="G6:G11">SUM(R6,AC6,AN6,AY6)</f>
        <v>0</v>
      </c>
      <c r="H6" s="14">
        <f aca="true" t="shared" si="3" ref="H6:H11">SUM(S6,AD6,AO6,AZ6)</f>
        <v>205.39907226562497</v>
      </c>
      <c r="I6" s="14">
        <f aca="true" t="shared" si="4" ref="I6:I11">SUM(T6,AE6,AP6,BA6)</f>
        <v>54.84046403715609</v>
      </c>
      <c r="J6" s="14">
        <f aca="true" t="shared" si="5" ref="J6:J11">SUM(F6:I6)</f>
        <v>1016.3628857472257</v>
      </c>
      <c r="K6" s="16"/>
      <c r="L6" s="17"/>
      <c r="N6" s="233">
        <f>2170*0.95</f>
        <v>2061.5</v>
      </c>
      <c r="O6" s="15">
        <f aca="true" t="shared" si="6" ref="O6:O11">N6/1800</f>
        <v>1.1452777777777778</v>
      </c>
      <c r="P6" s="233">
        <f>22*0.85</f>
        <v>18.7</v>
      </c>
      <c r="Q6" s="233">
        <f>198.780677777778*0.95</f>
        <v>188.8416438888891</v>
      </c>
      <c r="R6" s="14">
        <v>0</v>
      </c>
      <c r="S6" s="233">
        <f>66.018796875*0.85</f>
        <v>56.115977343750004</v>
      </c>
      <c r="T6" s="233">
        <f>SUM(Q6:S6)*0.05</f>
        <v>12.247881061631956</v>
      </c>
      <c r="U6" s="14">
        <f aca="true" t="shared" si="7" ref="U6:U11">SUM(Q6:T6)</f>
        <v>257.20550229427107</v>
      </c>
      <c r="V6" s="16">
        <f aca="true" t="shared" si="8" ref="V6:V11">U6/$J6</f>
        <v>0.2530646345917823</v>
      </c>
      <c r="W6" s="17"/>
      <c r="Y6" s="14">
        <v>3300</v>
      </c>
      <c r="Z6" s="15">
        <f aca="true" t="shared" si="9" ref="Z6:Z11">Y6/1800</f>
        <v>1.8333333333333333</v>
      </c>
      <c r="AA6" s="233">
        <f>37*0.9</f>
        <v>33.300000000000004</v>
      </c>
      <c r="AB6" s="14">
        <v>309.266</v>
      </c>
      <c r="AC6" s="14">
        <v>0</v>
      </c>
      <c r="AD6" s="233">
        <f>108.0582109375*0.9</f>
        <v>97.25238984375</v>
      </c>
      <c r="AE6" s="233">
        <f>SUM(AB6:AD6)*0.05</f>
        <v>20.325919492187502</v>
      </c>
      <c r="AF6" s="14">
        <f aca="true" t="shared" si="10" ref="AF6:AF11">SUM(AB6:AE6)</f>
        <v>426.8443093359375</v>
      </c>
      <c r="AG6" s="16">
        <f aca="true" t="shared" si="11" ref="AG6:AG11">AF6/$J6</f>
        <v>0.4199723497598236</v>
      </c>
      <c r="AH6" s="17"/>
      <c r="AJ6" s="14">
        <v>2414</v>
      </c>
      <c r="AK6" s="15">
        <f aca="true" t="shared" si="12" ref="AK6:AK11">AJ6/1800</f>
        <v>1.3411111111111111</v>
      </c>
      <c r="AL6" s="233">
        <f>26*0.9</f>
        <v>23.400000000000002</v>
      </c>
      <c r="AM6" s="14">
        <v>207.27471888888888</v>
      </c>
      <c r="AN6" s="14">
        <v>0</v>
      </c>
      <c r="AO6" s="233">
        <f>57.81189453125*0.9</f>
        <v>52.030705078124996</v>
      </c>
      <c r="AP6" s="233">
        <f>SUM(AM6:AO6)*0.08</f>
        <v>20.74443391736111</v>
      </c>
      <c r="AQ6" s="14">
        <f aca="true" t="shared" si="13" ref="AQ6:AQ11">SUM(AM6:AP6)</f>
        <v>280.049857884375</v>
      </c>
      <c r="AR6" s="16">
        <f aca="true" t="shared" si="14" ref="AR6:AR11">AQ6/$J6</f>
        <v>0.27554120856989334</v>
      </c>
      <c r="AS6" s="17"/>
      <c r="AU6" s="14">
        <v>474</v>
      </c>
      <c r="AV6" s="15">
        <f aca="true" t="shared" si="15" ref="AV6:AV11">AU6/1800</f>
        <v>0.2633333333333333</v>
      </c>
      <c r="AW6" s="14">
        <v>0</v>
      </c>
      <c r="AX6" s="14">
        <v>50.74098666666667</v>
      </c>
      <c r="AY6" s="14">
        <v>0</v>
      </c>
      <c r="AZ6" s="14">
        <v>0</v>
      </c>
      <c r="BA6" s="14">
        <v>1.522229565975517</v>
      </c>
      <c r="BB6" s="14">
        <f aca="true" t="shared" si="16" ref="BB6:BB11">SUM(AX6:BA6)</f>
        <v>52.263216232642186</v>
      </c>
      <c r="BC6" s="16">
        <f aca="true" t="shared" si="17" ref="BC6:BC11">BB6/$J6</f>
        <v>0.051421807078500796</v>
      </c>
      <c r="BD6" s="17"/>
    </row>
    <row r="7" spans="1:56" ht="12.75">
      <c r="A7" s="13">
        <v>2.3</v>
      </c>
      <c r="B7" s="13" t="s">
        <v>851</v>
      </c>
      <c r="C7" s="14">
        <f t="shared" si="0"/>
        <v>5412.200012207031</v>
      </c>
      <c r="D7" s="15">
        <f t="shared" si="0"/>
        <v>3.006777784559462</v>
      </c>
      <c r="E7" s="14">
        <f t="shared" si="0"/>
        <v>49</v>
      </c>
      <c r="F7" s="14">
        <f t="shared" si="1"/>
        <v>535.4450810787625</v>
      </c>
      <c r="G7" s="14">
        <f t="shared" si="2"/>
        <v>0</v>
      </c>
      <c r="H7" s="14">
        <f t="shared" si="3"/>
        <v>121.97242382812499</v>
      </c>
      <c r="I7" s="14">
        <f t="shared" si="4"/>
        <v>37.922900799425875</v>
      </c>
      <c r="J7" s="14">
        <f t="shared" si="5"/>
        <v>695.3404057063134</v>
      </c>
      <c r="K7" s="16"/>
      <c r="L7" s="17"/>
      <c r="N7" s="14">
        <v>829</v>
      </c>
      <c r="O7" s="15">
        <f t="shared" si="6"/>
        <v>0.46055555555555555</v>
      </c>
      <c r="P7" s="14">
        <v>7</v>
      </c>
      <c r="Q7" s="14">
        <v>94.04954111111111</v>
      </c>
      <c r="R7" s="14">
        <v>0</v>
      </c>
      <c r="S7" s="14">
        <v>13.701072265625</v>
      </c>
      <c r="T7" s="14">
        <v>5.387530749117269</v>
      </c>
      <c r="U7" s="14">
        <f t="shared" si="7"/>
        <v>113.13814412585339</v>
      </c>
      <c r="V7" s="16">
        <f t="shared" si="8"/>
        <v>0.16270900295363944</v>
      </c>
      <c r="W7" s="17"/>
      <c r="Y7" s="14">
        <v>1339.2000122070312</v>
      </c>
      <c r="Z7" s="15">
        <f t="shared" si="9"/>
        <v>0.744000006781684</v>
      </c>
      <c r="AA7" s="14">
        <v>11</v>
      </c>
      <c r="AB7" s="14">
        <v>134.91422107876247</v>
      </c>
      <c r="AC7" s="14">
        <v>0</v>
      </c>
      <c r="AD7" s="14">
        <v>22.2224765625</v>
      </c>
      <c r="AE7" s="14">
        <v>7.856834999139086</v>
      </c>
      <c r="AF7" s="14">
        <f t="shared" si="10"/>
        <v>164.99353264040155</v>
      </c>
      <c r="AG7" s="16">
        <f t="shared" si="11"/>
        <v>0.2372845462256782</v>
      </c>
      <c r="AH7" s="17"/>
      <c r="AJ7" s="14">
        <v>1890</v>
      </c>
      <c r="AK7" s="15">
        <f t="shared" si="12"/>
        <v>1.05</v>
      </c>
      <c r="AL7" s="14">
        <v>18</v>
      </c>
      <c r="AM7" s="14">
        <v>173.78580555555556</v>
      </c>
      <c r="AN7" s="14">
        <v>0</v>
      </c>
      <c r="AO7" s="14">
        <v>50.647390625</v>
      </c>
      <c r="AP7" s="14">
        <v>17.954655293126617</v>
      </c>
      <c r="AQ7" s="14">
        <f t="shared" si="13"/>
        <v>242.3878514736822</v>
      </c>
      <c r="AR7" s="16">
        <f t="shared" si="14"/>
        <v>0.3485887624025951</v>
      </c>
      <c r="AS7" s="17"/>
      <c r="AU7" s="14">
        <v>1354</v>
      </c>
      <c r="AV7" s="15">
        <f t="shared" si="15"/>
        <v>0.7522222222222222</v>
      </c>
      <c r="AW7" s="14">
        <v>13</v>
      </c>
      <c r="AX7" s="14">
        <v>132.69551333333334</v>
      </c>
      <c r="AY7" s="14">
        <v>0</v>
      </c>
      <c r="AZ7" s="14">
        <v>35.401484375</v>
      </c>
      <c r="BA7" s="14">
        <v>6.723879758042905</v>
      </c>
      <c r="BB7" s="14">
        <f t="shared" si="16"/>
        <v>174.82087746637623</v>
      </c>
      <c r="BC7" s="16">
        <f t="shared" si="17"/>
        <v>0.2514176884180872</v>
      </c>
      <c r="BD7" s="17"/>
    </row>
    <row r="8" spans="1:56" ht="12.75">
      <c r="A8" s="13">
        <v>2.4</v>
      </c>
      <c r="B8" s="13" t="s">
        <v>852</v>
      </c>
      <c r="C8" s="14">
        <f t="shared" si="0"/>
        <v>80</v>
      </c>
      <c r="D8" s="15">
        <f t="shared" si="0"/>
        <v>0.044444444444444446</v>
      </c>
      <c r="E8" s="14">
        <f t="shared" si="0"/>
        <v>0</v>
      </c>
      <c r="F8" s="14">
        <f t="shared" si="1"/>
        <v>9.98248888888889</v>
      </c>
      <c r="G8" s="14">
        <f t="shared" si="2"/>
        <v>0</v>
      </c>
      <c r="H8" s="14">
        <f t="shared" si="3"/>
        <v>0</v>
      </c>
      <c r="I8" s="14">
        <f t="shared" si="4"/>
        <v>0.9982489037639565</v>
      </c>
      <c r="J8" s="14">
        <f t="shared" si="5"/>
        <v>10.980737792652846</v>
      </c>
      <c r="K8" s="16"/>
      <c r="L8" s="17"/>
      <c r="N8" s="14">
        <v>40</v>
      </c>
      <c r="O8" s="15">
        <f t="shared" si="6"/>
        <v>0.022222222222222223</v>
      </c>
      <c r="P8" s="14">
        <v>0</v>
      </c>
      <c r="Q8" s="14">
        <v>4.991244444444445</v>
      </c>
      <c r="R8" s="14">
        <v>0</v>
      </c>
      <c r="S8" s="14">
        <v>0</v>
      </c>
      <c r="T8" s="14">
        <v>0.49912445188197824</v>
      </c>
      <c r="U8" s="14">
        <f t="shared" si="7"/>
        <v>5.490368896326423</v>
      </c>
      <c r="V8" s="16">
        <f t="shared" si="8"/>
        <v>0.5</v>
      </c>
      <c r="W8" s="17"/>
      <c r="Y8" s="14">
        <v>40</v>
      </c>
      <c r="Z8" s="15">
        <f t="shared" si="9"/>
        <v>0.022222222222222223</v>
      </c>
      <c r="AA8" s="14">
        <v>0</v>
      </c>
      <c r="AB8" s="14">
        <v>4.991244444444445</v>
      </c>
      <c r="AC8" s="14">
        <v>0</v>
      </c>
      <c r="AD8" s="14">
        <v>0</v>
      </c>
      <c r="AE8" s="14">
        <v>0.49912445188197824</v>
      </c>
      <c r="AF8" s="14">
        <f t="shared" si="10"/>
        <v>5.490368896326423</v>
      </c>
      <c r="AG8" s="16">
        <f t="shared" si="11"/>
        <v>0.5</v>
      </c>
      <c r="AH8" s="17"/>
      <c r="AJ8" s="14">
        <v>0</v>
      </c>
      <c r="AK8" s="15">
        <f t="shared" si="12"/>
        <v>0</v>
      </c>
      <c r="AL8" s="14">
        <v>0</v>
      </c>
      <c r="AM8" s="14">
        <v>0</v>
      </c>
      <c r="AN8" s="14">
        <v>0</v>
      </c>
      <c r="AO8" s="14">
        <v>0</v>
      </c>
      <c r="AP8" s="14">
        <v>0</v>
      </c>
      <c r="AQ8" s="14">
        <f t="shared" si="13"/>
        <v>0</v>
      </c>
      <c r="AR8" s="16">
        <f t="shared" si="14"/>
        <v>0</v>
      </c>
      <c r="AS8" s="17"/>
      <c r="AU8" s="14">
        <v>0</v>
      </c>
      <c r="AV8" s="15">
        <f t="shared" si="15"/>
        <v>0</v>
      </c>
      <c r="AW8" s="14">
        <v>0</v>
      </c>
      <c r="AX8" s="14">
        <v>0</v>
      </c>
      <c r="AY8" s="14">
        <v>0</v>
      </c>
      <c r="AZ8" s="14">
        <v>0</v>
      </c>
      <c r="BA8" s="14">
        <v>0</v>
      </c>
      <c r="BB8" s="14">
        <f t="shared" si="16"/>
        <v>0</v>
      </c>
      <c r="BC8" s="16">
        <f t="shared" si="17"/>
        <v>0</v>
      </c>
      <c r="BD8" s="17"/>
    </row>
    <row r="9" spans="1:56" ht="12.75">
      <c r="A9" s="13">
        <v>2.5</v>
      </c>
      <c r="B9" s="13" t="s">
        <v>853</v>
      </c>
      <c r="C9" s="14">
        <f t="shared" si="0"/>
        <v>460</v>
      </c>
      <c r="D9" s="15">
        <f t="shared" si="0"/>
        <v>0.25555555555555554</v>
      </c>
      <c r="E9" s="14">
        <f t="shared" si="0"/>
        <v>2</v>
      </c>
      <c r="F9" s="14">
        <f t="shared" si="1"/>
        <v>53.240697777777775</v>
      </c>
      <c r="G9" s="14">
        <f t="shared" si="2"/>
        <v>0</v>
      </c>
      <c r="H9" s="14">
        <f t="shared" si="3"/>
        <v>7.54347021484375</v>
      </c>
      <c r="I9" s="14">
        <f t="shared" si="4"/>
        <v>8.20601411740246</v>
      </c>
      <c r="J9" s="14">
        <f t="shared" si="5"/>
        <v>68.990182110024</v>
      </c>
      <c r="K9" s="16"/>
      <c r="L9" s="17"/>
      <c r="N9" s="14">
        <v>180</v>
      </c>
      <c r="O9" s="15">
        <f t="shared" si="6"/>
        <v>0.1</v>
      </c>
      <c r="P9" s="14">
        <v>0</v>
      </c>
      <c r="Q9" s="14">
        <v>20.86113333333333</v>
      </c>
      <c r="R9" s="14">
        <v>0</v>
      </c>
      <c r="S9" s="14">
        <v>0</v>
      </c>
      <c r="T9" s="14">
        <v>2.0861133644188445</v>
      </c>
      <c r="U9" s="14">
        <f t="shared" si="7"/>
        <v>22.947246697752178</v>
      </c>
      <c r="V9" s="16">
        <f t="shared" si="8"/>
        <v>0.3326161200901952</v>
      </c>
      <c r="W9" s="17"/>
      <c r="Y9" s="14">
        <v>180</v>
      </c>
      <c r="Z9" s="15">
        <f t="shared" si="9"/>
        <v>0.1</v>
      </c>
      <c r="AA9" s="14">
        <v>2</v>
      </c>
      <c r="AB9" s="14">
        <v>20.86113333333333</v>
      </c>
      <c r="AC9" s="14">
        <v>0</v>
      </c>
      <c r="AD9" s="14">
        <v>7.54347021484375</v>
      </c>
      <c r="AE9" s="14">
        <v>5.680920794287732</v>
      </c>
      <c r="AF9" s="14">
        <f t="shared" si="10"/>
        <v>34.085524342464815</v>
      </c>
      <c r="AG9" s="16">
        <f t="shared" si="11"/>
        <v>0.4940634058351373</v>
      </c>
      <c r="AH9" s="17"/>
      <c r="AJ9" s="14">
        <v>60</v>
      </c>
      <c r="AK9" s="15">
        <f t="shared" si="12"/>
        <v>0.03333333333333333</v>
      </c>
      <c r="AL9" s="14">
        <v>0</v>
      </c>
      <c r="AM9" s="14">
        <v>6.953711111111112</v>
      </c>
      <c r="AN9" s="14">
        <v>0</v>
      </c>
      <c r="AO9" s="14">
        <v>0</v>
      </c>
      <c r="AP9" s="14">
        <v>0.3476855607364741</v>
      </c>
      <c r="AQ9" s="14">
        <f t="shared" si="13"/>
        <v>7.301396671847586</v>
      </c>
      <c r="AR9" s="16">
        <f t="shared" si="14"/>
        <v>0.1058324017786108</v>
      </c>
      <c r="AS9" s="17"/>
      <c r="AU9" s="14">
        <v>40</v>
      </c>
      <c r="AV9" s="15">
        <f t="shared" si="15"/>
        <v>0.022222222222222223</v>
      </c>
      <c r="AW9" s="14">
        <v>0</v>
      </c>
      <c r="AX9" s="14">
        <v>4.56472</v>
      </c>
      <c r="AY9" s="14">
        <v>0</v>
      </c>
      <c r="AZ9" s="14">
        <v>0</v>
      </c>
      <c r="BA9" s="14">
        <v>0.09129439795941115</v>
      </c>
      <c r="BB9" s="14">
        <f t="shared" si="16"/>
        <v>4.656014397959411</v>
      </c>
      <c r="BC9" s="16">
        <f t="shared" si="17"/>
        <v>0.06748807229605662</v>
      </c>
      <c r="BD9" s="17"/>
    </row>
    <row r="10" spans="1:56" ht="12.75">
      <c r="A10" s="13">
        <v>2.6</v>
      </c>
      <c r="B10" s="13" t="s">
        <v>854</v>
      </c>
      <c r="C10" s="14">
        <f t="shared" si="0"/>
        <v>3544</v>
      </c>
      <c r="D10" s="15">
        <f t="shared" si="0"/>
        <v>1.968888888888889</v>
      </c>
      <c r="E10" s="14">
        <f t="shared" si="0"/>
        <v>104</v>
      </c>
      <c r="F10" s="14">
        <f t="shared" si="1"/>
        <v>376.1531244444444</v>
      </c>
      <c r="G10" s="14">
        <f t="shared" si="2"/>
        <v>0</v>
      </c>
      <c r="H10" s="14">
        <f t="shared" si="3"/>
        <v>382.627685546875</v>
      </c>
      <c r="I10" s="14">
        <f t="shared" si="4"/>
        <v>69.39436533701024</v>
      </c>
      <c r="J10" s="14">
        <f t="shared" si="5"/>
        <v>828.1751753283297</v>
      </c>
      <c r="K10" s="16"/>
      <c r="L10" s="17"/>
      <c r="N10" s="14">
        <v>456</v>
      </c>
      <c r="O10" s="15">
        <f t="shared" si="6"/>
        <v>0.25333333333333335</v>
      </c>
      <c r="P10" s="14">
        <v>13</v>
      </c>
      <c r="Q10" s="14">
        <v>48.23683111111111</v>
      </c>
      <c r="R10" s="14">
        <v>0</v>
      </c>
      <c r="S10" s="14">
        <v>32.725615234375</v>
      </c>
      <c r="T10" s="14">
        <v>4.048122377596028</v>
      </c>
      <c r="U10" s="14">
        <f t="shared" si="7"/>
        <v>85.01056872308214</v>
      </c>
      <c r="V10" s="16">
        <f t="shared" si="8"/>
        <v>0.10264805231499452</v>
      </c>
      <c r="W10" s="17"/>
      <c r="Y10" s="14">
        <v>548</v>
      </c>
      <c r="Z10" s="15">
        <f t="shared" si="9"/>
        <v>0.30444444444444446</v>
      </c>
      <c r="AA10" s="14">
        <v>16</v>
      </c>
      <c r="AB10" s="14">
        <v>57.94227111111111</v>
      </c>
      <c r="AC10" s="14">
        <v>0</v>
      </c>
      <c r="AD10" s="14">
        <v>63.8374296875</v>
      </c>
      <c r="AE10" s="14">
        <v>9.742375846129814</v>
      </c>
      <c r="AF10" s="14">
        <f t="shared" si="10"/>
        <v>131.52207664474093</v>
      </c>
      <c r="AG10" s="16">
        <f t="shared" si="11"/>
        <v>0.15880948929989244</v>
      </c>
      <c r="AH10" s="17"/>
      <c r="AJ10" s="14">
        <v>1524</v>
      </c>
      <c r="AK10" s="15">
        <f t="shared" si="12"/>
        <v>0.8466666666666667</v>
      </c>
      <c r="AL10" s="14">
        <v>43</v>
      </c>
      <c r="AM10" s="14">
        <v>161.98441333333332</v>
      </c>
      <c r="AN10" s="14">
        <v>0</v>
      </c>
      <c r="AO10" s="14">
        <v>158.38978125</v>
      </c>
      <c r="AP10" s="14">
        <v>32.03741993572808</v>
      </c>
      <c r="AQ10" s="14">
        <f t="shared" si="13"/>
        <v>352.41161451906135</v>
      </c>
      <c r="AR10" s="16">
        <f t="shared" si="14"/>
        <v>0.4255278653810746</v>
      </c>
      <c r="AS10" s="17"/>
      <c r="AU10" s="14">
        <v>1016</v>
      </c>
      <c r="AV10" s="15">
        <f t="shared" si="15"/>
        <v>0.5644444444444444</v>
      </c>
      <c r="AW10" s="14">
        <v>32</v>
      </c>
      <c r="AX10" s="14">
        <v>107.9896088888889</v>
      </c>
      <c r="AY10" s="14">
        <v>0</v>
      </c>
      <c r="AZ10" s="14">
        <v>127.674859375</v>
      </c>
      <c r="BA10" s="14">
        <v>23.566447177556313</v>
      </c>
      <c r="BB10" s="14">
        <f t="shared" si="16"/>
        <v>259.2309154414452</v>
      </c>
      <c r="BC10" s="16">
        <f t="shared" si="17"/>
        <v>0.3130145930040383</v>
      </c>
      <c r="BD10" s="17"/>
    </row>
    <row r="11" spans="1:56" ht="12.75">
      <c r="A11" s="13">
        <v>2.7</v>
      </c>
      <c r="B11" s="13" t="s">
        <v>855</v>
      </c>
      <c r="C11" s="14">
        <f t="shared" si="0"/>
        <v>18405.9</v>
      </c>
      <c r="D11" s="15">
        <f t="shared" si="0"/>
        <v>10.2255</v>
      </c>
      <c r="E11" s="14">
        <f t="shared" si="0"/>
        <v>23</v>
      </c>
      <c r="F11" s="14">
        <f t="shared" si="1"/>
        <v>926.1059800000008</v>
      </c>
      <c r="G11" s="14">
        <f t="shared" si="2"/>
        <v>354.024</v>
      </c>
      <c r="H11" s="14">
        <f t="shared" si="3"/>
        <v>66.96990673828125</v>
      </c>
      <c r="I11" s="14">
        <f t="shared" si="4"/>
        <v>115.31250037511543</v>
      </c>
      <c r="J11" s="14">
        <f t="shared" si="5"/>
        <v>1462.4123871133975</v>
      </c>
      <c r="K11" s="16"/>
      <c r="L11" s="17"/>
      <c r="N11" s="233">
        <f>3361*0.9</f>
        <v>3024.9</v>
      </c>
      <c r="O11" s="15">
        <f t="shared" si="6"/>
        <v>1.6805</v>
      </c>
      <c r="P11" s="14">
        <v>4</v>
      </c>
      <c r="Q11" s="233">
        <f>165.588555555556*0.9</f>
        <v>149.02970000000042</v>
      </c>
      <c r="R11" s="14">
        <v>59.171</v>
      </c>
      <c r="S11" s="14">
        <v>11.6469404296875</v>
      </c>
      <c r="T11" s="233">
        <f>SUM(Q11:S11)*0.08</f>
        <v>17.587811234375035</v>
      </c>
      <c r="U11" s="14">
        <f t="shared" si="7"/>
        <v>237.43545166406295</v>
      </c>
      <c r="V11" s="16">
        <f t="shared" si="8"/>
        <v>0.16235875308245176</v>
      </c>
      <c r="W11" s="17"/>
      <c r="Y11" s="233">
        <f>3990*0.9</f>
        <v>3591</v>
      </c>
      <c r="Z11" s="15">
        <f t="shared" si="9"/>
        <v>1.995</v>
      </c>
      <c r="AA11" s="14">
        <v>5</v>
      </c>
      <c r="AB11" s="233">
        <f>191.677977777778*0.9</f>
        <v>172.51018000000022</v>
      </c>
      <c r="AC11" s="14">
        <v>105.785</v>
      </c>
      <c r="AD11" s="14">
        <v>14.55867578125</v>
      </c>
      <c r="AE11" s="233">
        <f>SUM(AB11:AD11)*0.08</f>
        <v>23.428308462500013</v>
      </c>
      <c r="AF11" s="14">
        <f t="shared" si="10"/>
        <v>316.2821642437502</v>
      </c>
      <c r="AG11" s="16">
        <f t="shared" si="11"/>
        <v>0.21627426506421216</v>
      </c>
      <c r="AH11" s="17"/>
      <c r="AJ11" s="233">
        <f>9250*0.9</f>
        <v>8325</v>
      </c>
      <c r="AK11" s="15">
        <f t="shared" si="12"/>
        <v>4.625</v>
      </c>
      <c r="AL11" s="14">
        <v>12</v>
      </c>
      <c r="AM11" s="233">
        <f>483.162666666667*0.9</f>
        <v>434.8464000000003</v>
      </c>
      <c r="AN11" s="14">
        <v>181.742</v>
      </c>
      <c r="AO11" s="14">
        <v>34.9408203125</v>
      </c>
      <c r="AP11" s="233">
        <f>SUM(AM11:AO11)*0.1</f>
        <v>65.15292203125004</v>
      </c>
      <c r="AQ11" s="14">
        <f t="shared" si="13"/>
        <v>716.6821423437503</v>
      </c>
      <c r="AR11" s="16">
        <f t="shared" si="14"/>
        <v>0.49006842984856214</v>
      </c>
      <c r="AS11" s="17"/>
      <c r="AU11" s="14">
        <v>3465</v>
      </c>
      <c r="AV11" s="15">
        <f t="shared" si="15"/>
        <v>1.925</v>
      </c>
      <c r="AW11" s="14">
        <v>2</v>
      </c>
      <c r="AX11" s="14">
        <v>169.71970000000002</v>
      </c>
      <c r="AY11" s="14">
        <v>7.326</v>
      </c>
      <c r="AZ11" s="14">
        <v>5.82347021484375</v>
      </c>
      <c r="BA11" s="14">
        <v>9.143458646990338</v>
      </c>
      <c r="BB11" s="14">
        <f t="shared" si="16"/>
        <v>192.0126288618341</v>
      </c>
      <c r="BC11" s="16">
        <f t="shared" si="17"/>
        <v>0.131298552004774</v>
      </c>
      <c r="BD11" s="17"/>
    </row>
    <row r="12" spans="1:56" ht="12.75">
      <c r="A12" s="8">
        <v>3</v>
      </c>
      <c r="B12" s="9" t="s">
        <v>856</v>
      </c>
      <c r="C12" s="10"/>
      <c r="D12" s="10"/>
      <c r="E12" s="10"/>
      <c r="F12" s="10"/>
      <c r="G12" s="10"/>
      <c r="H12" s="10"/>
      <c r="I12" s="10"/>
      <c r="J12" s="10"/>
      <c r="K12" s="11">
        <f>L12/L$108</f>
        <v>0.0691515275249685</v>
      </c>
      <c r="L12" s="12">
        <f>SUM(J13:J35)</f>
        <v>2772.5045950835365</v>
      </c>
      <c r="N12" s="10"/>
      <c r="O12" s="10"/>
      <c r="P12" s="10"/>
      <c r="Q12" s="10"/>
      <c r="R12" s="10"/>
      <c r="S12" s="10"/>
      <c r="T12" s="10"/>
      <c r="U12" s="10"/>
      <c r="V12" s="10"/>
      <c r="W12" s="12">
        <f>SUM(U13:U35)</f>
        <v>795.1103040073551</v>
      </c>
      <c r="Y12" s="10"/>
      <c r="Z12" s="10"/>
      <c r="AA12" s="10"/>
      <c r="AB12" s="10"/>
      <c r="AC12" s="10"/>
      <c r="AD12" s="10"/>
      <c r="AE12" s="10"/>
      <c r="AF12" s="10"/>
      <c r="AG12" s="10"/>
      <c r="AH12" s="12">
        <f>SUM(AF13:AF35)</f>
        <v>1186.0424357644579</v>
      </c>
      <c r="AJ12" s="10"/>
      <c r="AK12" s="10"/>
      <c r="AL12" s="10"/>
      <c r="AM12" s="10"/>
      <c r="AN12" s="10"/>
      <c r="AO12" s="10"/>
      <c r="AP12" s="10"/>
      <c r="AQ12" s="10"/>
      <c r="AR12" s="10"/>
      <c r="AS12" s="12">
        <f>SUM(AQ13:AQ35)</f>
        <v>553.8552800929428</v>
      </c>
      <c r="AU12" s="10"/>
      <c r="AV12" s="10"/>
      <c r="AW12" s="10"/>
      <c r="AX12" s="10"/>
      <c r="AY12" s="10"/>
      <c r="AZ12" s="10"/>
      <c r="BA12" s="10"/>
      <c r="BB12" s="10"/>
      <c r="BC12" s="10"/>
      <c r="BD12" s="12">
        <f>SUM(BB13:BB35)</f>
        <v>237.49657521878157</v>
      </c>
    </row>
    <row r="13" spans="1:55" ht="12.75">
      <c r="A13" s="13">
        <v>3.1</v>
      </c>
      <c r="B13" s="19" t="s">
        <v>857</v>
      </c>
      <c r="C13" s="20"/>
      <c r="D13" s="21"/>
      <c r="E13" s="20"/>
      <c r="F13" s="20"/>
      <c r="G13" s="20"/>
      <c r="H13" s="20"/>
      <c r="I13" s="20"/>
      <c r="J13" s="20"/>
      <c r="K13" s="22"/>
      <c r="N13" s="20"/>
      <c r="O13" s="21"/>
      <c r="P13" s="20"/>
      <c r="Q13" s="20"/>
      <c r="R13" s="20"/>
      <c r="S13" s="20"/>
      <c r="T13" s="20"/>
      <c r="U13" s="20"/>
      <c r="V13" s="22"/>
      <c r="Y13" s="20"/>
      <c r="Z13" s="21"/>
      <c r="AA13" s="20"/>
      <c r="AB13" s="20"/>
      <c r="AC13" s="20"/>
      <c r="AD13" s="20"/>
      <c r="AE13" s="20"/>
      <c r="AF13" s="20"/>
      <c r="AG13" s="22"/>
      <c r="AJ13" s="20"/>
      <c r="AK13" s="21"/>
      <c r="AL13" s="20"/>
      <c r="AM13" s="20"/>
      <c r="AN13" s="20"/>
      <c r="AO13" s="20"/>
      <c r="AP13" s="20"/>
      <c r="AQ13" s="20"/>
      <c r="AR13" s="22"/>
      <c r="AU13" s="20"/>
      <c r="AV13" s="21"/>
      <c r="AW13" s="20"/>
      <c r="AX13" s="20"/>
      <c r="AY13" s="20"/>
      <c r="AZ13" s="20"/>
      <c r="BA13" s="20"/>
      <c r="BB13" s="20"/>
      <c r="BC13" s="22"/>
    </row>
    <row r="14" spans="1:56" ht="12.75">
      <c r="A14" s="23" t="s">
        <v>858</v>
      </c>
      <c r="B14" s="13" t="s">
        <v>859</v>
      </c>
      <c r="C14" s="14">
        <f aca="true" t="shared" si="18" ref="C14:E20">SUM(N14,Y14,AJ14,AU14)</f>
        <v>3460</v>
      </c>
      <c r="D14" s="15">
        <f t="shared" si="18"/>
        <v>1.922222222222222</v>
      </c>
      <c r="E14" s="14">
        <f t="shared" si="18"/>
        <v>17</v>
      </c>
      <c r="F14" s="14">
        <f aca="true" t="shared" si="19" ref="F14:F20">SUM(Q14,AB14,AM14,AX14)</f>
        <v>158.59352222222225</v>
      </c>
      <c r="G14" s="14">
        <f aca="true" t="shared" si="20" ref="G14:G20">SUM(R14,AC14,AN14,AY14)</f>
        <v>2.016</v>
      </c>
      <c r="H14" s="14">
        <f aca="true" t="shared" si="21" ref="H14:H20">SUM(S14,AD14,AO14,AZ14)</f>
        <v>15.62243798828125</v>
      </c>
      <c r="I14" s="14">
        <f aca="true" t="shared" si="22" ref="I14:I20">SUM(T14,AE14,AP14,BA14)</f>
        <v>12.336237267256461</v>
      </c>
      <c r="J14" s="14">
        <f>SUM(F14:I14)</f>
        <v>188.56819747775995</v>
      </c>
      <c r="K14" s="16"/>
      <c r="L14" s="17"/>
      <c r="N14" s="14">
        <v>2260</v>
      </c>
      <c r="O14" s="15">
        <f>N14/1800</f>
        <v>1.2555555555555555</v>
      </c>
      <c r="P14" s="14">
        <v>5</v>
      </c>
      <c r="Q14" s="14">
        <v>108.4601888888889</v>
      </c>
      <c r="R14" s="14">
        <v>2.016</v>
      </c>
      <c r="S14" s="14">
        <v>4.59483447265625</v>
      </c>
      <c r="T14" s="14">
        <v>8.054971669601997</v>
      </c>
      <c r="U14" s="14">
        <f>SUM(Q14:T14)</f>
        <v>123.12599503114714</v>
      </c>
      <c r="V14" s="16">
        <f>U14/$J14</f>
        <v>0.6529520708054115</v>
      </c>
      <c r="W14" s="17"/>
      <c r="Y14" s="14">
        <v>680</v>
      </c>
      <c r="Z14" s="15">
        <f>Y14/1800</f>
        <v>0.37777777777777777</v>
      </c>
      <c r="AA14" s="14">
        <v>6</v>
      </c>
      <c r="AB14" s="14">
        <v>28.40888888888889</v>
      </c>
      <c r="AC14" s="14">
        <v>0</v>
      </c>
      <c r="AD14" s="14">
        <v>5.5138017578125</v>
      </c>
      <c r="AE14" s="14">
        <v>2.374588355378847</v>
      </c>
      <c r="AF14" s="14">
        <f>SUM(AB14:AE14)</f>
        <v>36.29727900208024</v>
      </c>
      <c r="AG14" s="16">
        <f>AF14/$J14</f>
        <v>0.19248886868296655</v>
      </c>
      <c r="AH14" s="17"/>
      <c r="AJ14" s="14">
        <v>520</v>
      </c>
      <c r="AK14" s="15">
        <f>AJ14/1800</f>
        <v>0.28888888888888886</v>
      </c>
      <c r="AL14" s="14">
        <v>6</v>
      </c>
      <c r="AM14" s="14">
        <v>21.724444444444444</v>
      </c>
      <c r="AN14" s="14">
        <v>0</v>
      </c>
      <c r="AO14" s="14">
        <v>5.5138017578125</v>
      </c>
      <c r="AP14" s="14">
        <v>1.9066772422756162</v>
      </c>
      <c r="AQ14" s="14">
        <f>SUM(AM14:AP14)</f>
        <v>29.144923444532562</v>
      </c>
      <c r="AR14" s="16">
        <f>AQ14/$J14</f>
        <v>0.15455906051162185</v>
      </c>
      <c r="AS14" s="17"/>
      <c r="AU14" s="14">
        <v>0</v>
      </c>
      <c r="AV14" s="15">
        <f>AU14/1800</f>
        <v>0</v>
      </c>
      <c r="AW14" s="14">
        <v>0</v>
      </c>
      <c r="AX14" s="14">
        <v>0</v>
      </c>
      <c r="AY14" s="14">
        <v>0</v>
      </c>
      <c r="AZ14" s="14">
        <v>0</v>
      </c>
      <c r="BA14" s="14">
        <v>0</v>
      </c>
      <c r="BB14" s="14">
        <f>SUM(AX14:BA14)</f>
        <v>0</v>
      </c>
      <c r="BC14" s="16">
        <f>BB14/$J14</f>
        <v>0</v>
      </c>
      <c r="BD14" s="17"/>
    </row>
    <row r="15" spans="1:56" ht="12.75">
      <c r="A15" s="23" t="s">
        <v>860</v>
      </c>
      <c r="B15" s="13" t="s">
        <v>861</v>
      </c>
      <c r="C15" s="14">
        <f t="shared" si="18"/>
        <v>1800</v>
      </c>
      <c r="D15" s="15">
        <f t="shared" si="18"/>
        <v>1</v>
      </c>
      <c r="E15" s="14">
        <f t="shared" si="18"/>
        <v>0</v>
      </c>
      <c r="F15" s="14">
        <f t="shared" si="19"/>
        <v>100.77598888888889</v>
      </c>
      <c r="G15" s="14">
        <f t="shared" si="20"/>
        <v>0</v>
      </c>
      <c r="H15" s="14">
        <f t="shared" si="21"/>
        <v>0</v>
      </c>
      <c r="I15" s="14">
        <f t="shared" si="22"/>
        <v>19.248710431488686</v>
      </c>
      <c r="J15" s="14">
        <f aca="true" t="shared" si="23" ref="J15:J20">SUM(F15:I15)</f>
        <v>120.02469932037758</v>
      </c>
      <c r="K15" s="16"/>
      <c r="L15" s="17"/>
      <c r="N15" s="14">
        <v>420</v>
      </c>
      <c r="O15" s="15">
        <f aca="true" t="shared" si="24" ref="O15:O72">N15/1800</f>
        <v>0.23333333333333334</v>
      </c>
      <c r="P15" s="14">
        <v>0</v>
      </c>
      <c r="Q15" s="14">
        <v>22.47697777777778</v>
      </c>
      <c r="R15" s="14">
        <v>0</v>
      </c>
      <c r="S15" s="14">
        <v>0</v>
      </c>
      <c r="T15" s="14">
        <v>2.0229280803839367</v>
      </c>
      <c r="U15" s="14">
        <f aca="true" t="shared" si="25" ref="U15:U20">SUM(Q15:T15)</f>
        <v>24.499905858161718</v>
      </c>
      <c r="V15" s="16">
        <f aca="true" t="shared" si="26" ref="V15:V72">U15/$J15</f>
        <v>0.2041238678112828</v>
      </c>
      <c r="W15" s="17"/>
      <c r="Y15" s="14">
        <v>920</v>
      </c>
      <c r="Z15" s="15">
        <f aca="true" t="shared" si="27" ref="Z15:Z72">Y15/1800</f>
        <v>0.5111111111111111</v>
      </c>
      <c r="AA15" s="14">
        <v>0</v>
      </c>
      <c r="AB15" s="14">
        <v>50.453188888888896</v>
      </c>
      <c r="AC15" s="14">
        <v>0</v>
      </c>
      <c r="AD15" s="14">
        <v>0</v>
      </c>
      <c r="AE15" s="14">
        <v>11.099701495410669</v>
      </c>
      <c r="AF15" s="14">
        <f aca="true" t="shared" si="28" ref="AF15:AF20">SUM(AB15:AE15)</f>
        <v>61.552890384299566</v>
      </c>
      <c r="AG15" s="16">
        <f aca="true" t="shared" si="29" ref="AG15:AG72">AF15/$J15</f>
        <v>0.5128351975287908</v>
      </c>
      <c r="AH15" s="17"/>
      <c r="AJ15" s="14">
        <v>300</v>
      </c>
      <c r="AK15" s="15">
        <f aca="true" t="shared" si="30" ref="AK15:AK72">AJ15/1800</f>
        <v>0.16666666666666666</v>
      </c>
      <c r="AL15" s="14">
        <v>0</v>
      </c>
      <c r="AM15" s="14">
        <v>21.161377777777776</v>
      </c>
      <c r="AN15" s="14">
        <v>0</v>
      </c>
      <c r="AO15" s="14">
        <v>0</v>
      </c>
      <c r="AP15" s="14">
        <v>4.655503085884782</v>
      </c>
      <c r="AQ15" s="14">
        <f aca="true" t="shared" si="31" ref="AQ15:AQ20">SUM(AM15:AP15)</f>
        <v>25.816880863662558</v>
      </c>
      <c r="AR15" s="16">
        <f aca="true" t="shared" si="32" ref="AR15:AR72">AQ15/$J15</f>
        <v>0.21509640107283662</v>
      </c>
      <c r="AS15" s="17"/>
      <c r="AU15" s="14">
        <v>160</v>
      </c>
      <c r="AV15" s="15">
        <f aca="true" t="shared" si="33" ref="AV15:AV72">AU15/1800</f>
        <v>0.08888888888888889</v>
      </c>
      <c r="AW15" s="14">
        <v>0</v>
      </c>
      <c r="AX15" s="14">
        <v>6.684444444444444</v>
      </c>
      <c r="AY15" s="14">
        <v>0</v>
      </c>
      <c r="AZ15" s="14">
        <v>0</v>
      </c>
      <c r="BA15" s="14">
        <v>1.470577769809299</v>
      </c>
      <c r="BB15" s="14">
        <f aca="true" t="shared" si="34" ref="BB15:BB72">SUM(AX15:BA15)</f>
        <v>8.155022214253743</v>
      </c>
      <c r="BC15" s="16">
        <f aca="true" t="shared" si="35" ref="BC15:BC72">BB15/$J15</f>
        <v>0.06794453358708975</v>
      </c>
      <c r="BD15" s="17"/>
    </row>
    <row r="16" spans="1:56" ht="12.75">
      <c r="A16" s="23" t="s">
        <v>862</v>
      </c>
      <c r="B16" s="13" t="s">
        <v>863</v>
      </c>
      <c r="C16" s="14">
        <f t="shared" si="18"/>
        <v>670</v>
      </c>
      <c r="D16" s="15">
        <f t="shared" si="18"/>
        <v>0.37222222222222223</v>
      </c>
      <c r="E16" s="14">
        <f t="shared" si="18"/>
        <v>22</v>
      </c>
      <c r="F16" s="14">
        <f t="shared" si="19"/>
        <v>27.99111111111111</v>
      </c>
      <c r="G16" s="14">
        <f t="shared" si="20"/>
        <v>0</v>
      </c>
      <c r="H16" s="14">
        <f t="shared" si="21"/>
        <v>32.33111328125</v>
      </c>
      <c r="I16" s="14">
        <f t="shared" si="22"/>
        <v>10.624045228179309</v>
      </c>
      <c r="J16" s="14">
        <f t="shared" si="23"/>
        <v>70.94626962054042</v>
      </c>
      <c r="K16" s="16"/>
      <c r="L16" s="17"/>
      <c r="N16" s="14">
        <v>130</v>
      </c>
      <c r="O16" s="15">
        <f t="shared" si="24"/>
        <v>0.07222222222222222</v>
      </c>
      <c r="P16" s="14">
        <v>7</v>
      </c>
      <c r="Q16" s="14">
        <v>5.431111111111111</v>
      </c>
      <c r="R16" s="14">
        <v>0</v>
      </c>
      <c r="S16" s="14">
        <v>11.2783046875</v>
      </c>
      <c r="T16" s="14">
        <v>3.0076949632650547</v>
      </c>
      <c r="U16" s="14">
        <f t="shared" si="25"/>
        <v>19.717110761876167</v>
      </c>
      <c r="V16" s="16">
        <f t="shared" si="26"/>
        <v>0.27791610281039575</v>
      </c>
      <c r="W16" s="17"/>
      <c r="Y16" s="14">
        <v>180</v>
      </c>
      <c r="Z16" s="15">
        <f t="shared" si="27"/>
        <v>0.1</v>
      </c>
      <c r="AA16" s="14">
        <v>8</v>
      </c>
      <c r="AB16" s="14">
        <v>7.52</v>
      </c>
      <c r="AC16" s="14">
        <v>0</v>
      </c>
      <c r="AD16" s="14">
        <v>12.197271484375</v>
      </c>
      <c r="AE16" s="14">
        <v>3.5491090082164156</v>
      </c>
      <c r="AF16" s="14">
        <f t="shared" si="28"/>
        <v>23.266380492591413</v>
      </c>
      <c r="AG16" s="16">
        <f t="shared" si="29"/>
        <v>0.32794367648972644</v>
      </c>
      <c r="AH16" s="17"/>
      <c r="AJ16" s="14">
        <v>220</v>
      </c>
      <c r="AK16" s="15">
        <f t="shared" si="30"/>
        <v>0.12222222222222222</v>
      </c>
      <c r="AL16" s="14">
        <v>7</v>
      </c>
      <c r="AM16" s="14">
        <v>9.19111111111111</v>
      </c>
      <c r="AN16" s="14">
        <v>0</v>
      </c>
      <c r="AO16" s="14">
        <v>8.855537109375</v>
      </c>
      <c r="AP16" s="14">
        <v>3.2483968087671866</v>
      </c>
      <c r="AQ16" s="14">
        <f t="shared" si="31"/>
        <v>21.2950450292533</v>
      </c>
      <c r="AR16" s="16">
        <f t="shared" si="32"/>
        <v>0.30015736053707803</v>
      </c>
      <c r="AS16" s="17"/>
      <c r="AU16" s="14">
        <v>140</v>
      </c>
      <c r="AV16" s="15">
        <f t="shared" si="33"/>
        <v>0.07777777777777778</v>
      </c>
      <c r="AW16" s="14">
        <v>0</v>
      </c>
      <c r="AX16" s="14">
        <v>5.848888888888888</v>
      </c>
      <c r="AY16" s="14">
        <v>0</v>
      </c>
      <c r="AZ16" s="14">
        <v>0</v>
      </c>
      <c r="BA16" s="14">
        <v>0.8188444479306538</v>
      </c>
      <c r="BB16" s="14">
        <f t="shared" si="34"/>
        <v>6.667733336819542</v>
      </c>
      <c r="BC16" s="16">
        <f t="shared" si="35"/>
        <v>0.0939828601627998</v>
      </c>
      <c r="BD16" s="17"/>
    </row>
    <row r="17" spans="1:56" ht="12.75">
      <c r="A17" s="23" t="s">
        <v>864</v>
      </c>
      <c r="B17" s="13" t="s">
        <v>865</v>
      </c>
      <c r="C17" s="14">
        <f t="shared" si="18"/>
        <v>312</v>
      </c>
      <c r="D17" s="15">
        <f t="shared" si="18"/>
        <v>0.17333333333333334</v>
      </c>
      <c r="E17" s="14">
        <f t="shared" si="18"/>
        <v>12</v>
      </c>
      <c r="F17" s="14">
        <f t="shared" si="19"/>
        <v>13.034666666666666</v>
      </c>
      <c r="G17" s="14">
        <f t="shared" si="20"/>
        <v>0</v>
      </c>
      <c r="H17" s="14">
        <f t="shared" si="21"/>
        <v>65.59883203125</v>
      </c>
      <c r="I17" s="14">
        <f t="shared" si="22"/>
        <v>4.7180098164192605</v>
      </c>
      <c r="J17" s="14">
        <f t="shared" si="23"/>
        <v>83.35150851433592</v>
      </c>
      <c r="K17" s="16"/>
      <c r="L17" s="17"/>
      <c r="N17" s="14">
        <v>104</v>
      </c>
      <c r="O17" s="15">
        <f t="shared" si="24"/>
        <v>0.057777777777777775</v>
      </c>
      <c r="P17" s="14">
        <v>4</v>
      </c>
      <c r="Q17" s="14">
        <v>4.344888888888889</v>
      </c>
      <c r="R17" s="14">
        <v>0</v>
      </c>
      <c r="S17" s="14">
        <v>21.86627734375</v>
      </c>
      <c r="T17" s="14">
        <v>1.5726699388064203</v>
      </c>
      <c r="U17" s="14">
        <f t="shared" si="25"/>
        <v>27.78383617144531</v>
      </c>
      <c r="V17" s="16">
        <f t="shared" si="26"/>
        <v>0.33333333333333337</v>
      </c>
      <c r="W17" s="17"/>
      <c r="Y17" s="14">
        <v>104</v>
      </c>
      <c r="Z17" s="15">
        <f t="shared" si="27"/>
        <v>0.057777777777777775</v>
      </c>
      <c r="AA17" s="14">
        <v>4</v>
      </c>
      <c r="AB17" s="14">
        <v>4.344888888888889</v>
      </c>
      <c r="AC17" s="14">
        <v>0</v>
      </c>
      <c r="AD17" s="14">
        <v>21.86627734375</v>
      </c>
      <c r="AE17" s="14">
        <v>1.5726699388064203</v>
      </c>
      <c r="AF17" s="14">
        <f t="shared" si="28"/>
        <v>27.78383617144531</v>
      </c>
      <c r="AG17" s="16">
        <f t="shared" si="29"/>
        <v>0.33333333333333337</v>
      </c>
      <c r="AH17" s="17"/>
      <c r="AJ17" s="14">
        <v>104</v>
      </c>
      <c r="AK17" s="15">
        <f t="shared" si="30"/>
        <v>0.057777777777777775</v>
      </c>
      <c r="AL17" s="14">
        <v>4</v>
      </c>
      <c r="AM17" s="14">
        <v>4.344888888888889</v>
      </c>
      <c r="AN17" s="14">
        <v>0</v>
      </c>
      <c r="AO17" s="14">
        <v>21.86627734375</v>
      </c>
      <c r="AP17" s="14">
        <v>1.5726699388064203</v>
      </c>
      <c r="AQ17" s="14">
        <f t="shared" si="31"/>
        <v>27.78383617144531</v>
      </c>
      <c r="AR17" s="16">
        <f t="shared" si="32"/>
        <v>0.33333333333333337</v>
      </c>
      <c r="AS17" s="17"/>
      <c r="AU17" s="14">
        <v>0</v>
      </c>
      <c r="AV17" s="15">
        <f t="shared" si="33"/>
        <v>0</v>
      </c>
      <c r="AW17" s="14">
        <v>0</v>
      </c>
      <c r="AX17" s="14">
        <v>0</v>
      </c>
      <c r="AY17" s="14">
        <v>0</v>
      </c>
      <c r="AZ17" s="14">
        <v>0</v>
      </c>
      <c r="BA17" s="14">
        <v>0</v>
      </c>
      <c r="BB17" s="14">
        <f t="shared" si="34"/>
        <v>0</v>
      </c>
      <c r="BC17" s="16">
        <f t="shared" si="35"/>
        <v>0</v>
      </c>
      <c r="BD17" s="17"/>
    </row>
    <row r="18" spans="1:56" ht="12.75">
      <c r="A18" s="23" t="s">
        <v>866</v>
      </c>
      <c r="B18" s="13" t="s">
        <v>867</v>
      </c>
      <c r="C18" s="14">
        <f t="shared" si="18"/>
        <v>280</v>
      </c>
      <c r="D18" s="15">
        <f t="shared" si="18"/>
        <v>0.15555555555555556</v>
      </c>
      <c r="E18" s="14">
        <f t="shared" si="18"/>
        <v>8</v>
      </c>
      <c r="F18" s="14">
        <f t="shared" si="19"/>
        <v>11.697777777777777</v>
      </c>
      <c r="G18" s="14">
        <f t="shared" si="20"/>
        <v>0</v>
      </c>
      <c r="H18" s="14">
        <f t="shared" si="21"/>
        <v>7.3517353515625</v>
      </c>
      <c r="I18" s="14">
        <f t="shared" si="22"/>
        <v>1.1429707622130287</v>
      </c>
      <c r="J18" s="14">
        <f t="shared" si="23"/>
        <v>20.192483891553305</v>
      </c>
      <c r="K18" s="16"/>
      <c r="L18" s="17"/>
      <c r="N18" s="14">
        <v>70</v>
      </c>
      <c r="O18" s="15">
        <f t="shared" si="24"/>
        <v>0.03888888888888889</v>
      </c>
      <c r="P18" s="14">
        <v>2</v>
      </c>
      <c r="Q18" s="14">
        <v>2.924444444444444</v>
      </c>
      <c r="R18" s="14">
        <v>0</v>
      </c>
      <c r="S18" s="14">
        <v>1.837933837890625</v>
      </c>
      <c r="T18" s="14">
        <v>0.2857426905532572</v>
      </c>
      <c r="U18" s="14">
        <f t="shared" si="25"/>
        <v>5.048120972888326</v>
      </c>
      <c r="V18" s="16">
        <f t="shared" si="26"/>
        <v>0.25</v>
      </c>
      <c r="W18" s="17"/>
      <c r="Y18" s="14">
        <v>70</v>
      </c>
      <c r="Z18" s="15">
        <f t="shared" si="27"/>
        <v>0.03888888888888889</v>
      </c>
      <c r="AA18" s="14">
        <v>2</v>
      </c>
      <c r="AB18" s="14">
        <v>2.924444444444444</v>
      </c>
      <c r="AC18" s="14">
        <v>0</v>
      </c>
      <c r="AD18" s="14">
        <v>1.837933837890625</v>
      </c>
      <c r="AE18" s="14">
        <v>0.2857426905532572</v>
      </c>
      <c r="AF18" s="14">
        <f t="shared" si="28"/>
        <v>5.048120972888326</v>
      </c>
      <c r="AG18" s="16">
        <f t="shared" si="29"/>
        <v>0.25</v>
      </c>
      <c r="AH18" s="17"/>
      <c r="AJ18" s="14">
        <v>70</v>
      </c>
      <c r="AK18" s="15">
        <f t="shared" si="30"/>
        <v>0.03888888888888889</v>
      </c>
      <c r="AL18" s="14">
        <v>2</v>
      </c>
      <c r="AM18" s="14">
        <v>2.924444444444444</v>
      </c>
      <c r="AN18" s="14">
        <v>0</v>
      </c>
      <c r="AO18" s="14">
        <v>1.837933837890625</v>
      </c>
      <c r="AP18" s="14">
        <v>0.2857426905532572</v>
      </c>
      <c r="AQ18" s="14">
        <f t="shared" si="31"/>
        <v>5.048120972888326</v>
      </c>
      <c r="AR18" s="16">
        <f t="shared" si="32"/>
        <v>0.25</v>
      </c>
      <c r="AS18" s="17"/>
      <c r="AU18" s="14">
        <v>70</v>
      </c>
      <c r="AV18" s="15">
        <f t="shared" si="33"/>
        <v>0.03888888888888889</v>
      </c>
      <c r="AW18" s="14">
        <v>2</v>
      </c>
      <c r="AX18" s="14">
        <v>2.924444444444444</v>
      </c>
      <c r="AY18" s="14">
        <v>0</v>
      </c>
      <c r="AZ18" s="14">
        <v>1.837933837890625</v>
      </c>
      <c r="BA18" s="14">
        <v>0.2857426905532572</v>
      </c>
      <c r="BB18" s="14">
        <f t="shared" si="34"/>
        <v>5.048120972888326</v>
      </c>
      <c r="BC18" s="16">
        <f t="shared" si="35"/>
        <v>0.25</v>
      </c>
      <c r="BD18" s="17"/>
    </row>
    <row r="19" spans="1:56" ht="12.75">
      <c r="A19" s="23" t="s">
        <v>868</v>
      </c>
      <c r="B19" s="13" t="s">
        <v>869</v>
      </c>
      <c r="C19" s="14">
        <f t="shared" si="18"/>
        <v>640</v>
      </c>
      <c r="D19" s="15">
        <f t="shared" si="18"/>
        <v>0.35555555555555557</v>
      </c>
      <c r="E19" s="14">
        <f t="shared" si="18"/>
        <v>32</v>
      </c>
      <c r="F19" s="14">
        <f t="shared" si="19"/>
        <v>31.66808888888889</v>
      </c>
      <c r="G19" s="14">
        <f t="shared" si="20"/>
        <v>0</v>
      </c>
      <c r="H19" s="14">
        <f t="shared" si="21"/>
        <v>29.40694140625</v>
      </c>
      <c r="I19" s="14">
        <f t="shared" si="22"/>
        <v>3.664501735800335</v>
      </c>
      <c r="J19" s="14">
        <f t="shared" si="23"/>
        <v>64.73953203093922</v>
      </c>
      <c r="K19" s="16"/>
      <c r="L19" s="17"/>
      <c r="N19" s="14">
        <v>160</v>
      </c>
      <c r="O19" s="15">
        <f t="shared" si="24"/>
        <v>0.08888888888888889</v>
      </c>
      <c r="P19" s="14">
        <v>8</v>
      </c>
      <c r="Q19" s="14">
        <v>7.917022222222222</v>
      </c>
      <c r="R19" s="14">
        <v>0</v>
      </c>
      <c r="S19" s="14">
        <v>7.3517353515625</v>
      </c>
      <c r="T19" s="14">
        <v>0.9161254339500837</v>
      </c>
      <c r="U19" s="14">
        <f t="shared" si="25"/>
        <v>16.184883007734804</v>
      </c>
      <c r="V19" s="16">
        <f t="shared" si="26"/>
        <v>0.25</v>
      </c>
      <c r="W19" s="17"/>
      <c r="Y19" s="14">
        <v>160</v>
      </c>
      <c r="Z19" s="15">
        <f t="shared" si="27"/>
        <v>0.08888888888888889</v>
      </c>
      <c r="AA19" s="14">
        <v>8</v>
      </c>
      <c r="AB19" s="14">
        <v>7.917022222222222</v>
      </c>
      <c r="AC19" s="14">
        <v>0</v>
      </c>
      <c r="AD19" s="14">
        <v>7.3517353515625</v>
      </c>
      <c r="AE19" s="14">
        <v>0.9161254339500837</v>
      </c>
      <c r="AF19" s="14">
        <f t="shared" si="28"/>
        <v>16.184883007734804</v>
      </c>
      <c r="AG19" s="16">
        <f t="shared" si="29"/>
        <v>0.25</v>
      </c>
      <c r="AH19" s="17"/>
      <c r="AJ19" s="14">
        <v>160</v>
      </c>
      <c r="AK19" s="15">
        <f t="shared" si="30"/>
        <v>0.08888888888888889</v>
      </c>
      <c r="AL19" s="14">
        <v>8</v>
      </c>
      <c r="AM19" s="14">
        <v>7.917022222222222</v>
      </c>
      <c r="AN19" s="14">
        <v>0</v>
      </c>
      <c r="AO19" s="14">
        <v>7.3517353515625</v>
      </c>
      <c r="AP19" s="14">
        <v>0.9161254339500837</v>
      </c>
      <c r="AQ19" s="14">
        <f t="shared" si="31"/>
        <v>16.184883007734804</v>
      </c>
      <c r="AR19" s="16">
        <f t="shared" si="32"/>
        <v>0.25</v>
      </c>
      <c r="AS19" s="17"/>
      <c r="AU19" s="14">
        <v>160</v>
      </c>
      <c r="AV19" s="15">
        <f t="shared" si="33"/>
        <v>0.08888888888888889</v>
      </c>
      <c r="AW19" s="14">
        <v>8</v>
      </c>
      <c r="AX19" s="14">
        <v>7.917022222222222</v>
      </c>
      <c r="AY19" s="14">
        <v>0</v>
      </c>
      <c r="AZ19" s="14">
        <v>7.3517353515625</v>
      </c>
      <c r="BA19" s="14">
        <v>0.9161254339500837</v>
      </c>
      <c r="BB19" s="14">
        <f t="shared" si="34"/>
        <v>16.184883007734804</v>
      </c>
      <c r="BC19" s="16">
        <f t="shared" si="35"/>
        <v>0.25</v>
      </c>
      <c r="BD19" s="17"/>
    </row>
    <row r="20" spans="1:56" ht="12.75">
      <c r="A20" s="13">
        <v>3.2</v>
      </c>
      <c r="B20" s="13" t="s">
        <v>870</v>
      </c>
      <c r="C20" s="14">
        <f t="shared" si="18"/>
        <v>3699</v>
      </c>
      <c r="D20" s="15">
        <f t="shared" si="18"/>
        <v>2.055</v>
      </c>
      <c r="E20" s="14">
        <f t="shared" si="18"/>
        <v>0</v>
      </c>
      <c r="F20" s="14">
        <f t="shared" si="19"/>
        <v>286.3904077777778</v>
      </c>
      <c r="G20" s="14">
        <f t="shared" si="20"/>
        <v>0</v>
      </c>
      <c r="H20" s="14">
        <f t="shared" si="21"/>
        <v>0</v>
      </c>
      <c r="I20" s="14">
        <f t="shared" si="22"/>
        <v>22.911232110116266</v>
      </c>
      <c r="J20" s="14">
        <f t="shared" si="23"/>
        <v>309.30163988789405</v>
      </c>
      <c r="K20" s="16"/>
      <c r="L20" s="17"/>
      <c r="N20" s="14">
        <v>1094</v>
      </c>
      <c r="O20" s="15">
        <f t="shared" si="24"/>
        <v>0.6077777777777778</v>
      </c>
      <c r="P20" s="14">
        <v>0</v>
      </c>
      <c r="Q20" s="14">
        <v>83.50086888888889</v>
      </c>
      <c r="R20" s="14">
        <v>0</v>
      </c>
      <c r="S20" s="14">
        <v>0</v>
      </c>
      <c r="T20" s="14">
        <v>6.680069361799922</v>
      </c>
      <c r="U20" s="14">
        <f t="shared" si="25"/>
        <v>90.18093825068881</v>
      </c>
      <c r="V20" s="16">
        <f t="shared" si="26"/>
        <v>0.2915630783056138</v>
      </c>
      <c r="W20" s="17"/>
      <c r="Y20" s="14">
        <v>990</v>
      </c>
      <c r="Z20" s="15">
        <f t="shared" si="27"/>
        <v>0.55</v>
      </c>
      <c r="AA20" s="14">
        <v>0</v>
      </c>
      <c r="AB20" s="14">
        <v>75.69596666666668</v>
      </c>
      <c r="AC20" s="14">
        <v>0</v>
      </c>
      <c r="AD20" s="14">
        <v>0</v>
      </c>
      <c r="AE20" s="14">
        <v>6.055677197978398</v>
      </c>
      <c r="AF20" s="14">
        <f t="shared" si="28"/>
        <v>81.75164386464508</v>
      </c>
      <c r="AG20" s="16">
        <f t="shared" si="29"/>
        <v>0.26431041197930877</v>
      </c>
      <c r="AH20" s="17"/>
      <c r="AJ20" s="14">
        <v>1135</v>
      </c>
      <c r="AK20" s="15">
        <f t="shared" si="30"/>
        <v>0.6305555555555555</v>
      </c>
      <c r="AL20" s="14">
        <v>0</v>
      </c>
      <c r="AM20" s="14">
        <v>90.05150555555555</v>
      </c>
      <c r="AN20" s="14">
        <v>0</v>
      </c>
      <c r="AO20" s="14">
        <v>0</v>
      </c>
      <c r="AP20" s="14">
        <v>7.204120283419804</v>
      </c>
      <c r="AQ20" s="14">
        <f t="shared" si="31"/>
        <v>97.25562583897535</v>
      </c>
      <c r="AR20" s="16">
        <f t="shared" si="32"/>
        <v>0.31443617911054567</v>
      </c>
      <c r="AS20" s="17"/>
      <c r="AU20" s="14">
        <v>480</v>
      </c>
      <c r="AV20" s="15">
        <f t="shared" si="33"/>
        <v>0.26666666666666666</v>
      </c>
      <c r="AW20" s="14">
        <v>0</v>
      </c>
      <c r="AX20" s="14">
        <v>37.142066666666665</v>
      </c>
      <c r="AY20" s="14">
        <v>0</v>
      </c>
      <c r="AZ20" s="14">
        <v>0</v>
      </c>
      <c r="BA20" s="14">
        <v>2.9713652669181423</v>
      </c>
      <c r="BB20" s="14">
        <f t="shared" si="34"/>
        <v>40.113431933584806</v>
      </c>
      <c r="BC20" s="16">
        <f t="shared" si="35"/>
        <v>0.12969033060453175</v>
      </c>
      <c r="BD20" s="17"/>
    </row>
    <row r="21" spans="1:56" ht="12.75">
      <c r="A21" s="13">
        <v>3.3</v>
      </c>
      <c r="B21" s="13" t="s">
        <v>871</v>
      </c>
      <c r="C21" s="17"/>
      <c r="D21" s="17"/>
      <c r="E21" s="17"/>
      <c r="F21" s="17"/>
      <c r="G21" s="17"/>
      <c r="H21" s="17"/>
      <c r="I21" s="17"/>
      <c r="J21" s="17"/>
      <c r="K21" s="16"/>
      <c r="L21" s="17"/>
      <c r="N21" s="17"/>
      <c r="O21" s="17"/>
      <c r="P21" s="17"/>
      <c r="Q21" s="17"/>
      <c r="R21" s="17"/>
      <c r="S21" s="17"/>
      <c r="T21" s="17"/>
      <c r="U21" s="17"/>
      <c r="V21" s="16"/>
      <c r="W21" s="17"/>
      <c r="Y21" s="17"/>
      <c r="Z21" s="17"/>
      <c r="AA21" s="17"/>
      <c r="AB21" s="17"/>
      <c r="AC21" s="17"/>
      <c r="AD21" s="17"/>
      <c r="AE21" s="17"/>
      <c r="AF21" s="17"/>
      <c r="AG21" s="16"/>
      <c r="AH21" s="17"/>
      <c r="AJ21" s="17"/>
      <c r="AK21" s="17"/>
      <c r="AL21" s="17"/>
      <c r="AM21" s="17"/>
      <c r="AN21" s="17"/>
      <c r="AO21" s="17"/>
      <c r="AP21" s="17"/>
      <c r="AQ21" s="17"/>
      <c r="AR21" s="16"/>
      <c r="AS21" s="17"/>
      <c r="AU21" s="17"/>
      <c r="AV21" s="17"/>
      <c r="AW21" s="17"/>
      <c r="AX21" s="17"/>
      <c r="AY21" s="17"/>
      <c r="AZ21" s="17"/>
      <c r="BA21" s="17"/>
      <c r="BB21" s="17"/>
      <c r="BC21" s="16"/>
      <c r="BD21" s="17"/>
    </row>
    <row r="22" spans="1:56" ht="12.75">
      <c r="A22" s="23" t="s">
        <v>872</v>
      </c>
      <c r="B22" s="13" t="s">
        <v>873</v>
      </c>
      <c r="C22" s="14">
        <f aca="true" t="shared" si="36" ref="C22:E24">SUM(N22,Y22,AJ22,AU22)</f>
        <v>2800</v>
      </c>
      <c r="D22" s="15">
        <f t="shared" si="36"/>
        <v>1.5555555555555558</v>
      </c>
      <c r="E22" s="14">
        <f t="shared" si="36"/>
        <v>13</v>
      </c>
      <c r="F22" s="14">
        <f aca="true" t="shared" si="37" ref="F22:I24">SUM(Q22,AB22,AM22,AX22)</f>
        <v>284.40844444444446</v>
      </c>
      <c r="G22" s="14">
        <f t="shared" si="37"/>
        <v>0</v>
      </c>
      <c r="H22" s="14">
        <f t="shared" si="37"/>
        <v>11.946570068359375</v>
      </c>
      <c r="I22" s="14">
        <f t="shared" si="37"/>
        <v>66.47382114791368</v>
      </c>
      <c r="J22" s="14">
        <f>SUM(F22:I22)</f>
        <v>362.8288356607175</v>
      </c>
      <c r="K22" s="16"/>
      <c r="L22" s="17"/>
      <c r="N22" s="14">
        <v>748</v>
      </c>
      <c r="O22" s="15">
        <f t="shared" si="24"/>
        <v>0.41555555555555557</v>
      </c>
      <c r="P22" s="14">
        <v>4</v>
      </c>
      <c r="Q22" s="14">
        <v>81.74204888888889</v>
      </c>
      <c r="R22" s="14">
        <v>0</v>
      </c>
      <c r="S22" s="14">
        <v>3.67586767578125</v>
      </c>
      <c r="T22" s="14">
        <v>17.083583567499257</v>
      </c>
      <c r="U22" s="14">
        <f>SUM(Q22:T22)</f>
        <v>102.5015001321694</v>
      </c>
      <c r="V22" s="16">
        <f t="shared" si="26"/>
        <v>0.2825064880676102</v>
      </c>
      <c r="W22" s="17"/>
      <c r="Y22" s="14">
        <v>1120</v>
      </c>
      <c r="Z22" s="15">
        <f t="shared" si="27"/>
        <v>0.6222222222222222</v>
      </c>
      <c r="AA22" s="14">
        <v>4</v>
      </c>
      <c r="AB22" s="14">
        <v>109.28248888888888</v>
      </c>
      <c r="AC22" s="14">
        <v>0</v>
      </c>
      <c r="AD22" s="14">
        <v>3.67586767578125</v>
      </c>
      <c r="AE22" s="14">
        <v>28.23958914116753</v>
      </c>
      <c r="AF22" s="14">
        <f>SUM(AB22:AE22)</f>
        <v>141.19794570583767</v>
      </c>
      <c r="AG22" s="16">
        <f t="shared" si="29"/>
        <v>0.3891585558482798</v>
      </c>
      <c r="AH22" s="17"/>
      <c r="AJ22" s="14">
        <v>620</v>
      </c>
      <c r="AK22" s="15">
        <f t="shared" si="30"/>
        <v>0.34444444444444444</v>
      </c>
      <c r="AL22" s="14">
        <v>2</v>
      </c>
      <c r="AM22" s="14">
        <v>62.59366666666667</v>
      </c>
      <c r="AN22" s="14">
        <v>0</v>
      </c>
      <c r="AO22" s="14">
        <v>1.837933837890625</v>
      </c>
      <c r="AP22" s="14">
        <v>7.731791887727856</v>
      </c>
      <c r="AQ22" s="14">
        <f>SUM(AM22:AP22)</f>
        <v>72.16339239228515</v>
      </c>
      <c r="AR22" s="16">
        <f t="shared" si="32"/>
        <v>0.19889100672187307</v>
      </c>
      <c r="AS22" s="17"/>
      <c r="AU22" s="14">
        <v>312</v>
      </c>
      <c r="AV22" s="15">
        <f t="shared" si="33"/>
        <v>0.17333333333333334</v>
      </c>
      <c r="AW22" s="14">
        <v>3</v>
      </c>
      <c r="AX22" s="14">
        <v>30.790239999999997</v>
      </c>
      <c r="AY22" s="14">
        <v>0</v>
      </c>
      <c r="AZ22" s="14">
        <v>2.75690087890625</v>
      </c>
      <c r="BA22" s="14">
        <v>13.41885655151904</v>
      </c>
      <c r="BB22" s="14">
        <f t="shared" si="34"/>
        <v>46.96599743042529</v>
      </c>
      <c r="BC22" s="16">
        <f t="shared" si="35"/>
        <v>0.12944394936223688</v>
      </c>
      <c r="BD22" s="17"/>
    </row>
    <row r="23" spans="1:56" ht="12.75">
      <c r="A23" s="23" t="s">
        <v>874</v>
      </c>
      <c r="B23" s="13" t="s">
        <v>875</v>
      </c>
      <c r="C23" s="14">
        <f t="shared" si="36"/>
        <v>2000</v>
      </c>
      <c r="D23" s="15">
        <f t="shared" si="36"/>
        <v>1.1111111111111112</v>
      </c>
      <c r="E23" s="14">
        <f t="shared" si="36"/>
        <v>14</v>
      </c>
      <c r="F23" s="14">
        <f t="shared" si="37"/>
        <v>186.93555555555557</v>
      </c>
      <c r="G23" s="14">
        <f t="shared" si="37"/>
        <v>0</v>
      </c>
      <c r="H23" s="14">
        <f t="shared" si="37"/>
        <v>24.979377929687498</v>
      </c>
      <c r="I23" s="14">
        <f t="shared" si="37"/>
        <v>66.945373532286</v>
      </c>
      <c r="J23" s="14">
        <f>SUM(F23:I23)</f>
        <v>278.86030701752907</v>
      </c>
      <c r="K23" s="16"/>
      <c r="L23" s="17"/>
      <c r="N23" s="14">
        <v>880</v>
      </c>
      <c r="O23" s="15">
        <f t="shared" si="24"/>
        <v>0.4888888888888889</v>
      </c>
      <c r="P23" s="14">
        <v>4</v>
      </c>
      <c r="Q23" s="14">
        <v>80.58160000000001</v>
      </c>
      <c r="R23" s="14">
        <v>0</v>
      </c>
      <c r="S23" s="14">
        <v>8.521404296875</v>
      </c>
      <c r="T23" s="14">
        <v>17.820601124922646</v>
      </c>
      <c r="U23" s="14">
        <f>SUM(Q23:T23)</f>
        <v>106.92360542179766</v>
      </c>
      <c r="V23" s="16">
        <f t="shared" si="26"/>
        <v>0.3834307096817349</v>
      </c>
      <c r="W23" s="17"/>
      <c r="Y23" s="14">
        <v>760</v>
      </c>
      <c r="Z23" s="15">
        <f t="shared" si="27"/>
        <v>0.4222222222222222</v>
      </c>
      <c r="AA23" s="14">
        <v>5</v>
      </c>
      <c r="AB23" s="14">
        <v>73.95808888888888</v>
      </c>
      <c r="AC23" s="14">
        <v>0</v>
      </c>
      <c r="AD23" s="14">
        <v>7.0176025390625</v>
      </c>
      <c r="AE23" s="14">
        <v>32.39027705383329</v>
      </c>
      <c r="AF23" s="14">
        <f>SUM(AB23:AE23)</f>
        <v>113.36596848178466</v>
      </c>
      <c r="AG23" s="16">
        <f t="shared" si="29"/>
        <v>0.40653318392372895</v>
      </c>
      <c r="AH23" s="17"/>
      <c r="AJ23" s="14">
        <v>240</v>
      </c>
      <c r="AK23" s="15">
        <f t="shared" si="30"/>
        <v>0.13333333333333333</v>
      </c>
      <c r="AL23" s="14">
        <v>3</v>
      </c>
      <c r="AM23" s="14">
        <v>20.55346666666667</v>
      </c>
      <c r="AN23" s="14">
        <v>0</v>
      </c>
      <c r="AO23" s="14">
        <v>5.1796689453125</v>
      </c>
      <c r="AP23" s="14">
        <v>10.293254398173106</v>
      </c>
      <c r="AQ23" s="14">
        <f>SUM(AM23:AP23)</f>
        <v>36.02639001015228</v>
      </c>
      <c r="AR23" s="16">
        <f t="shared" si="32"/>
        <v>0.12919153104097986</v>
      </c>
      <c r="AS23" s="17"/>
      <c r="AU23" s="14">
        <v>120</v>
      </c>
      <c r="AV23" s="15">
        <f t="shared" si="33"/>
        <v>0.06666666666666667</v>
      </c>
      <c r="AW23" s="14">
        <v>2</v>
      </c>
      <c r="AX23" s="14">
        <v>11.8424</v>
      </c>
      <c r="AY23" s="14">
        <v>0</v>
      </c>
      <c r="AZ23" s="14">
        <v>4.2607021484375</v>
      </c>
      <c r="BA23" s="14">
        <v>6.441240955356967</v>
      </c>
      <c r="BB23" s="14">
        <f t="shared" si="34"/>
        <v>22.544343103794468</v>
      </c>
      <c r="BC23" s="16">
        <f t="shared" si="35"/>
        <v>0.08084457535355628</v>
      </c>
      <c r="BD23" s="17"/>
    </row>
    <row r="24" spans="1:56" ht="12.75">
      <c r="A24" s="23" t="s">
        <v>876</v>
      </c>
      <c r="B24" s="13" t="s">
        <v>877</v>
      </c>
      <c r="C24" s="14">
        <f t="shared" si="36"/>
        <v>1440</v>
      </c>
      <c r="D24" s="15">
        <f t="shared" si="36"/>
        <v>0.8</v>
      </c>
      <c r="E24" s="14">
        <f t="shared" si="36"/>
        <v>4</v>
      </c>
      <c r="F24" s="14">
        <f t="shared" si="37"/>
        <v>112.19213333333333</v>
      </c>
      <c r="G24" s="14">
        <f t="shared" si="37"/>
        <v>0</v>
      </c>
      <c r="H24" s="14">
        <f t="shared" si="37"/>
        <v>11.80417236328125</v>
      </c>
      <c r="I24" s="14">
        <f t="shared" si="37"/>
        <v>33.60457486797905</v>
      </c>
      <c r="J24" s="14">
        <f>SUM(F24:I24)</f>
        <v>157.60088056459364</v>
      </c>
      <c r="K24" s="16"/>
      <c r="L24" s="17"/>
      <c r="N24" s="14">
        <v>0</v>
      </c>
      <c r="O24" s="15">
        <f t="shared" si="24"/>
        <v>0</v>
      </c>
      <c r="P24" s="14">
        <v>2</v>
      </c>
      <c r="Q24" s="14">
        <v>0</v>
      </c>
      <c r="R24" s="14">
        <v>0</v>
      </c>
      <c r="S24" s="14">
        <v>5.1207021484375</v>
      </c>
      <c r="T24" s="14">
        <v>0</v>
      </c>
      <c r="U24" s="14">
        <f>SUM(Q24:T24)</f>
        <v>5.1207021484375</v>
      </c>
      <c r="V24" s="16">
        <f t="shared" si="26"/>
        <v>0.03249158335976905</v>
      </c>
      <c r="W24" s="17"/>
      <c r="Y24" s="14">
        <v>1400</v>
      </c>
      <c r="Z24" s="15">
        <f t="shared" si="27"/>
        <v>0.7777777777777778</v>
      </c>
      <c r="AA24" s="14">
        <v>2</v>
      </c>
      <c r="AB24" s="14">
        <v>109.28844444444444</v>
      </c>
      <c r="AC24" s="14">
        <v>0</v>
      </c>
      <c r="AD24" s="14">
        <v>6.68347021484375</v>
      </c>
      <c r="AE24" s="14">
        <v>32.47213624284999</v>
      </c>
      <c r="AF24" s="14">
        <f>SUM(AB24:AE24)</f>
        <v>148.44405090213817</v>
      </c>
      <c r="AG24" s="16">
        <f t="shared" si="29"/>
        <v>0.9418986135759407</v>
      </c>
      <c r="AH24" s="17"/>
      <c r="AJ24" s="14">
        <v>40</v>
      </c>
      <c r="AK24" s="15">
        <f t="shared" si="30"/>
        <v>0.022222222222222223</v>
      </c>
      <c r="AL24" s="14">
        <v>0</v>
      </c>
      <c r="AM24" s="14">
        <v>2.903688888888889</v>
      </c>
      <c r="AN24" s="14">
        <v>0</v>
      </c>
      <c r="AO24" s="14">
        <v>0</v>
      </c>
      <c r="AP24" s="14">
        <v>1.132438625129064</v>
      </c>
      <c r="AQ24" s="14">
        <f>SUM(AM24:AP24)</f>
        <v>4.036127514017953</v>
      </c>
      <c r="AR24" s="16">
        <f t="shared" si="32"/>
        <v>0.025609803064290133</v>
      </c>
      <c r="AS24" s="17"/>
      <c r="AU24" s="14">
        <v>0</v>
      </c>
      <c r="AV24" s="15">
        <f t="shared" si="33"/>
        <v>0</v>
      </c>
      <c r="AW24" s="14">
        <v>0</v>
      </c>
      <c r="AX24" s="14">
        <v>0</v>
      </c>
      <c r="AY24" s="14">
        <v>0</v>
      </c>
      <c r="AZ24" s="14">
        <v>0</v>
      </c>
      <c r="BA24" s="14">
        <v>0</v>
      </c>
      <c r="BB24" s="14">
        <f t="shared" si="34"/>
        <v>0</v>
      </c>
      <c r="BC24" s="16">
        <f t="shared" si="35"/>
        <v>0</v>
      </c>
      <c r="BD24" s="17"/>
    </row>
    <row r="25" spans="1:56" ht="12.75">
      <c r="A25" s="23">
        <v>3.4</v>
      </c>
      <c r="B25" s="13" t="s">
        <v>878</v>
      </c>
      <c r="C25" s="14"/>
      <c r="D25" s="15"/>
      <c r="E25" s="14"/>
      <c r="F25" s="14"/>
      <c r="G25" s="14"/>
      <c r="H25" s="14"/>
      <c r="I25" s="14"/>
      <c r="J25" s="14"/>
      <c r="K25" s="16"/>
      <c r="L25" s="17"/>
      <c r="N25" s="14"/>
      <c r="O25" s="15"/>
      <c r="P25" s="14"/>
      <c r="Q25" s="14"/>
      <c r="R25" s="14"/>
      <c r="S25" s="14"/>
      <c r="T25" s="14"/>
      <c r="U25" s="14"/>
      <c r="V25" s="16"/>
      <c r="W25" s="17"/>
      <c r="Y25" s="14"/>
      <c r="Z25" s="15"/>
      <c r="AA25" s="14"/>
      <c r="AB25" s="14"/>
      <c r="AC25" s="14"/>
      <c r="AD25" s="14"/>
      <c r="AE25" s="14"/>
      <c r="AF25" s="14"/>
      <c r="AG25" s="16"/>
      <c r="AH25" s="17"/>
      <c r="AJ25" s="14"/>
      <c r="AK25" s="15"/>
      <c r="AL25" s="14"/>
      <c r="AM25" s="14"/>
      <c r="AN25" s="14"/>
      <c r="AO25" s="14"/>
      <c r="AP25" s="14"/>
      <c r="AQ25" s="14"/>
      <c r="AR25" s="16"/>
      <c r="AS25" s="17"/>
      <c r="AU25" s="14"/>
      <c r="AV25" s="15"/>
      <c r="AW25" s="14"/>
      <c r="AX25" s="14"/>
      <c r="AY25" s="14"/>
      <c r="AZ25" s="14"/>
      <c r="BA25" s="14"/>
      <c r="BB25" s="14"/>
      <c r="BC25" s="16"/>
      <c r="BD25" s="17"/>
    </row>
    <row r="26" spans="1:56" ht="12.75">
      <c r="A26" s="23" t="s">
        <v>879</v>
      </c>
      <c r="B26" s="13" t="s">
        <v>880</v>
      </c>
      <c r="C26" s="14">
        <f aca="true" t="shared" si="38" ref="C26:C35">SUM(N26,Y26,AJ26,AU26)</f>
        <v>1016</v>
      </c>
      <c r="D26" s="15">
        <f aca="true" t="shared" si="39" ref="D26:D35">SUM(O26,Z26,AK26,AV26)</f>
        <v>0.5644444444444444</v>
      </c>
      <c r="E26" s="14">
        <f aca="true" t="shared" si="40" ref="E26:E35">SUM(P26,AA26,AL26,AW26)</f>
        <v>0</v>
      </c>
      <c r="F26" s="14">
        <f aca="true" t="shared" si="41" ref="F26:F35">SUM(Q26,AB26,AM26,AX26)</f>
        <v>94.81241777777777</v>
      </c>
      <c r="G26" s="14">
        <f aca="true" t="shared" si="42" ref="G26:G35">SUM(R26,AC26,AN26,AY26)</f>
        <v>0</v>
      </c>
      <c r="H26" s="14">
        <f aca="true" t="shared" si="43" ref="H26:H35">SUM(S26,AD26,AO26,AZ26)</f>
        <v>0</v>
      </c>
      <c r="I26" s="14">
        <f aca="true" t="shared" si="44" ref="I26:I35">SUM(T26,AE26,AP26,BA26)</f>
        <v>28.443726463585435</v>
      </c>
      <c r="J26" s="14">
        <f aca="true" t="shared" si="45" ref="J26:J35">SUM(F26:I26)</f>
        <v>123.2561442413632</v>
      </c>
      <c r="K26" s="16"/>
      <c r="L26" s="17"/>
      <c r="N26" s="14">
        <v>264</v>
      </c>
      <c r="O26" s="15">
        <f t="shared" si="24"/>
        <v>0.14666666666666667</v>
      </c>
      <c r="P26" s="14">
        <v>0</v>
      </c>
      <c r="Q26" s="14">
        <v>24.97344888888889</v>
      </c>
      <c r="R26" s="14">
        <v>0</v>
      </c>
      <c r="S26" s="14">
        <v>0</v>
      </c>
      <c r="T26" s="14">
        <v>7.492034964373376</v>
      </c>
      <c r="U26" s="14">
        <f aca="true" t="shared" si="46" ref="U26:U35">SUM(Q26:T26)</f>
        <v>32.46548385326226</v>
      </c>
      <c r="V26" s="16">
        <f t="shared" si="26"/>
        <v>0.2633985027933987</v>
      </c>
      <c r="W26" s="17"/>
      <c r="Y26" s="14">
        <v>304</v>
      </c>
      <c r="Z26" s="15">
        <f t="shared" si="27"/>
        <v>0.1688888888888889</v>
      </c>
      <c r="AA26" s="14">
        <v>0</v>
      </c>
      <c r="AB26" s="14">
        <v>27.832071111111112</v>
      </c>
      <c r="AC26" s="14">
        <v>0</v>
      </c>
      <c r="AD26" s="14">
        <v>0</v>
      </c>
      <c r="AE26" s="14">
        <v>8.349621665117477</v>
      </c>
      <c r="AF26" s="14">
        <f aca="true" t="shared" si="47" ref="AF26:AF35">SUM(AB26:AE26)</f>
        <v>36.18169277622859</v>
      </c>
      <c r="AG26" s="16">
        <f t="shared" si="29"/>
        <v>0.293548796280506</v>
      </c>
      <c r="AH26" s="17"/>
      <c r="AJ26" s="14">
        <v>304</v>
      </c>
      <c r="AK26" s="15">
        <f t="shared" si="30"/>
        <v>0.1688888888888889</v>
      </c>
      <c r="AL26" s="14">
        <v>0</v>
      </c>
      <c r="AM26" s="14">
        <v>27.832071111111112</v>
      </c>
      <c r="AN26" s="14">
        <v>0</v>
      </c>
      <c r="AO26" s="14">
        <v>0</v>
      </c>
      <c r="AP26" s="14">
        <v>8.349621665117477</v>
      </c>
      <c r="AQ26" s="14">
        <f aca="true" t="shared" si="48" ref="AQ26:AQ35">SUM(AM26:AP26)</f>
        <v>36.18169277622859</v>
      </c>
      <c r="AR26" s="16">
        <f t="shared" si="32"/>
        <v>0.293548796280506</v>
      </c>
      <c r="AS26" s="17"/>
      <c r="AU26" s="14">
        <v>144</v>
      </c>
      <c r="AV26" s="15">
        <f t="shared" si="33"/>
        <v>0.08</v>
      </c>
      <c r="AW26" s="14">
        <v>0</v>
      </c>
      <c r="AX26" s="14">
        <v>14.174826666666668</v>
      </c>
      <c r="AY26" s="14">
        <v>0</v>
      </c>
      <c r="AZ26" s="14">
        <v>0</v>
      </c>
      <c r="BA26" s="14">
        <v>4.252448168977102</v>
      </c>
      <c r="BB26" s="14">
        <f t="shared" si="34"/>
        <v>18.42727483564377</v>
      </c>
      <c r="BC26" s="16">
        <f t="shared" si="35"/>
        <v>0.14950390464558935</v>
      </c>
      <c r="BD26" s="17"/>
    </row>
    <row r="27" spans="1:56" ht="12.75">
      <c r="A27" s="23" t="s">
        <v>881</v>
      </c>
      <c r="B27" s="13" t="s">
        <v>882</v>
      </c>
      <c r="C27" s="14">
        <f t="shared" si="38"/>
        <v>310</v>
      </c>
      <c r="D27" s="15">
        <f t="shared" si="39"/>
        <v>0.17222222222222222</v>
      </c>
      <c r="E27" s="14">
        <f t="shared" si="40"/>
        <v>0</v>
      </c>
      <c r="F27" s="14">
        <f t="shared" si="41"/>
        <v>30.418233333333333</v>
      </c>
      <c r="G27" s="14">
        <f t="shared" si="42"/>
        <v>0</v>
      </c>
      <c r="H27" s="14">
        <f t="shared" si="43"/>
        <v>0</v>
      </c>
      <c r="I27" s="14">
        <f t="shared" si="44"/>
        <v>9.1254703626136</v>
      </c>
      <c r="J27" s="14">
        <f t="shared" si="45"/>
        <v>39.54370369594693</v>
      </c>
      <c r="K27" s="16"/>
      <c r="L27" s="17"/>
      <c r="N27" s="14">
        <v>80</v>
      </c>
      <c r="O27" s="15">
        <f t="shared" si="24"/>
        <v>0.044444444444444446</v>
      </c>
      <c r="P27" s="14">
        <v>0</v>
      </c>
      <c r="Q27" s="14">
        <v>7.849866666666667</v>
      </c>
      <c r="R27" s="14">
        <v>0</v>
      </c>
      <c r="S27" s="14">
        <v>0</v>
      </c>
      <c r="T27" s="14">
        <v>2.354960093577703</v>
      </c>
      <c r="U27" s="14">
        <f t="shared" si="46"/>
        <v>10.20482676024437</v>
      </c>
      <c r="V27" s="16">
        <f t="shared" si="26"/>
        <v>0.25806451612903225</v>
      </c>
      <c r="W27" s="17"/>
      <c r="Y27" s="14">
        <v>200</v>
      </c>
      <c r="Z27" s="15">
        <f t="shared" si="27"/>
        <v>0.1111111111111111</v>
      </c>
      <c r="AA27" s="14">
        <v>0</v>
      </c>
      <c r="AB27" s="14">
        <v>19.624666666666666</v>
      </c>
      <c r="AC27" s="14">
        <v>0</v>
      </c>
      <c r="AD27" s="14">
        <v>0</v>
      </c>
      <c r="AE27" s="14">
        <v>5.887400233944257</v>
      </c>
      <c r="AF27" s="14">
        <f t="shared" si="47"/>
        <v>25.512066900610925</v>
      </c>
      <c r="AG27" s="16">
        <f t="shared" si="29"/>
        <v>0.6451612903225807</v>
      </c>
      <c r="AH27" s="17"/>
      <c r="AJ27" s="14">
        <v>30</v>
      </c>
      <c r="AK27" s="15">
        <f t="shared" si="30"/>
        <v>0.016666666666666666</v>
      </c>
      <c r="AL27" s="14">
        <v>0</v>
      </c>
      <c r="AM27" s="14">
        <v>2.9436999999999998</v>
      </c>
      <c r="AN27" s="14">
        <v>0</v>
      </c>
      <c r="AO27" s="14">
        <v>0</v>
      </c>
      <c r="AP27" s="14">
        <v>0.8831100350916385</v>
      </c>
      <c r="AQ27" s="14">
        <f t="shared" si="48"/>
        <v>3.826810035091638</v>
      </c>
      <c r="AR27" s="16">
        <f t="shared" si="32"/>
        <v>0.09677419354838708</v>
      </c>
      <c r="AS27" s="17"/>
      <c r="AU27" s="14">
        <v>0</v>
      </c>
      <c r="AV27" s="15">
        <f t="shared" si="33"/>
        <v>0</v>
      </c>
      <c r="AW27" s="14">
        <v>0</v>
      </c>
      <c r="AX27" s="14">
        <v>0</v>
      </c>
      <c r="AY27" s="14">
        <v>0</v>
      </c>
      <c r="AZ27" s="14">
        <v>0</v>
      </c>
      <c r="BA27" s="14">
        <v>0</v>
      </c>
      <c r="BB27" s="14">
        <f t="shared" si="34"/>
        <v>0</v>
      </c>
      <c r="BC27" s="16">
        <f t="shared" si="35"/>
        <v>0</v>
      </c>
      <c r="BD27" s="17"/>
    </row>
    <row r="28" spans="1:56" ht="12.75">
      <c r="A28" s="23" t="s">
        <v>883</v>
      </c>
      <c r="B28" s="13" t="s">
        <v>884</v>
      </c>
      <c r="C28" s="14">
        <f t="shared" si="38"/>
        <v>1040</v>
      </c>
      <c r="D28" s="15">
        <f t="shared" si="39"/>
        <v>0.5777777777777777</v>
      </c>
      <c r="E28" s="14">
        <f t="shared" si="40"/>
        <v>0</v>
      </c>
      <c r="F28" s="14">
        <f t="shared" si="41"/>
        <v>102.04826666666666</v>
      </c>
      <c r="G28" s="14">
        <f t="shared" si="42"/>
        <v>0</v>
      </c>
      <c r="H28" s="14">
        <f t="shared" si="43"/>
        <v>0</v>
      </c>
      <c r="I28" s="14">
        <f t="shared" si="44"/>
        <v>22.45061854501565</v>
      </c>
      <c r="J28" s="14">
        <f t="shared" si="45"/>
        <v>124.4988852116823</v>
      </c>
      <c r="K28" s="16"/>
      <c r="L28" s="17"/>
      <c r="N28" s="14">
        <v>304</v>
      </c>
      <c r="O28" s="15">
        <f t="shared" si="24"/>
        <v>0.1688888888888889</v>
      </c>
      <c r="P28" s="14">
        <v>0</v>
      </c>
      <c r="Q28" s="14">
        <v>29.829493333333332</v>
      </c>
      <c r="R28" s="14">
        <v>0</v>
      </c>
      <c r="S28" s="14">
        <v>0</v>
      </c>
      <c r="T28" s="14">
        <v>6.562488497773805</v>
      </c>
      <c r="U28" s="14">
        <f t="shared" si="46"/>
        <v>36.39198183110714</v>
      </c>
      <c r="V28" s="16">
        <f t="shared" si="26"/>
        <v>0.2923076923076923</v>
      </c>
      <c r="W28" s="17"/>
      <c r="Y28" s="14">
        <v>320</v>
      </c>
      <c r="Z28" s="15">
        <f t="shared" si="27"/>
        <v>0.17777777777777778</v>
      </c>
      <c r="AA28" s="14">
        <v>0</v>
      </c>
      <c r="AB28" s="14">
        <v>31.39946666666667</v>
      </c>
      <c r="AC28" s="14">
        <v>0</v>
      </c>
      <c r="AD28" s="14">
        <v>0</v>
      </c>
      <c r="AE28" s="14">
        <v>6.907882629235585</v>
      </c>
      <c r="AF28" s="14">
        <f t="shared" si="47"/>
        <v>38.307349295902256</v>
      </c>
      <c r="AG28" s="16">
        <f t="shared" si="29"/>
        <v>0.30769230769230776</v>
      </c>
      <c r="AH28" s="17"/>
      <c r="AJ28" s="14">
        <v>240</v>
      </c>
      <c r="AK28" s="15">
        <f t="shared" si="30"/>
        <v>0.13333333333333333</v>
      </c>
      <c r="AL28" s="14">
        <v>0</v>
      </c>
      <c r="AM28" s="14">
        <v>23.549599999999998</v>
      </c>
      <c r="AN28" s="14">
        <v>0</v>
      </c>
      <c r="AO28" s="14">
        <v>0</v>
      </c>
      <c r="AP28" s="14">
        <v>5.180911971926689</v>
      </c>
      <c r="AQ28" s="14">
        <f t="shared" si="48"/>
        <v>28.73051197192669</v>
      </c>
      <c r="AR28" s="16">
        <f t="shared" si="32"/>
        <v>0.23076923076923078</v>
      </c>
      <c r="AS28" s="17"/>
      <c r="AU28" s="14">
        <v>176</v>
      </c>
      <c r="AV28" s="15">
        <f t="shared" si="33"/>
        <v>0.09777777777777778</v>
      </c>
      <c r="AW28" s="14">
        <v>0</v>
      </c>
      <c r="AX28" s="14">
        <v>17.269706666666664</v>
      </c>
      <c r="AY28" s="14">
        <v>0</v>
      </c>
      <c r="AZ28" s="14">
        <v>0</v>
      </c>
      <c r="BA28" s="14">
        <v>3.7993354460795716</v>
      </c>
      <c r="BB28" s="14">
        <f t="shared" si="34"/>
        <v>21.069042112746235</v>
      </c>
      <c r="BC28" s="16">
        <f t="shared" si="35"/>
        <v>0.1692307692307692</v>
      </c>
      <c r="BD28" s="17"/>
    </row>
    <row r="29" spans="1:56" ht="12.75">
      <c r="A29" s="23" t="s">
        <v>885</v>
      </c>
      <c r="B29" s="13" t="s">
        <v>886</v>
      </c>
      <c r="C29" s="14">
        <f t="shared" si="38"/>
        <v>776</v>
      </c>
      <c r="D29" s="15">
        <f t="shared" si="39"/>
        <v>0.4311111111111111</v>
      </c>
      <c r="E29" s="14">
        <f t="shared" si="40"/>
        <v>4</v>
      </c>
      <c r="F29" s="14">
        <f t="shared" si="41"/>
        <v>66.95250666666666</v>
      </c>
      <c r="G29" s="14">
        <f t="shared" si="42"/>
        <v>0</v>
      </c>
      <c r="H29" s="14">
        <f t="shared" si="43"/>
        <v>13.3669404296875</v>
      </c>
      <c r="I29" s="14">
        <f t="shared" si="44"/>
        <v>14.457501051833203</v>
      </c>
      <c r="J29" s="14">
        <f t="shared" si="45"/>
        <v>94.77694814818737</v>
      </c>
      <c r="K29" s="16"/>
      <c r="L29" s="17"/>
      <c r="N29" s="14">
        <v>224</v>
      </c>
      <c r="O29" s="15">
        <f t="shared" si="24"/>
        <v>0.12444444444444444</v>
      </c>
      <c r="P29" s="14">
        <v>1</v>
      </c>
      <c r="Q29" s="14">
        <v>17.894648888888888</v>
      </c>
      <c r="R29" s="14">
        <v>0</v>
      </c>
      <c r="S29" s="14">
        <v>3.341735107421875</v>
      </c>
      <c r="T29" s="14">
        <v>3.822549271230393</v>
      </c>
      <c r="U29" s="14">
        <f t="shared" si="46"/>
        <v>25.058933267541157</v>
      </c>
      <c r="V29" s="16">
        <f t="shared" si="26"/>
        <v>0.2643990311690619</v>
      </c>
      <c r="W29" s="17"/>
      <c r="Y29" s="14">
        <v>360</v>
      </c>
      <c r="Z29" s="15">
        <f t="shared" si="27"/>
        <v>0.2</v>
      </c>
      <c r="AA29" s="14">
        <v>1</v>
      </c>
      <c r="AB29" s="14">
        <v>30.218177777777775</v>
      </c>
      <c r="AC29" s="14">
        <v>0</v>
      </c>
      <c r="AD29" s="14">
        <v>3.341735107421875</v>
      </c>
      <c r="AE29" s="14">
        <v>6.040784559375139</v>
      </c>
      <c r="AF29" s="14">
        <f t="shared" si="47"/>
        <v>39.60069744457479</v>
      </c>
      <c r="AG29" s="16">
        <f t="shared" si="29"/>
        <v>0.41783047690729175</v>
      </c>
      <c r="AH29" s="17"/>
      <c r="AJ29" s="14">
        <v>96</v>
      </c>
      <c r="AK29" s="15">
        <f t="shared" si="30"/>
        <v>0.05333333333333334</v>
      </c>
      <c r="AL29" s="14">
        <v>1</v>
      </c>
      <c r="AM29" s="14">
        <v>9.41984</v>
      </c>
      <c r="AN29" s="14">
        <v>0</v>
      </c>
      <c r="AO29" s="14">
        <v>3.341735107421875</v>
      </c>
      <c r="AP29" s="14">
        <v>2.2970836106138357</v>
      </c>
      <c r="AQ29" s="14">
        <f t="shared" si="48"/>
        <v>15.058658718035712</v>
      </c>
      <c r="AR29" s="16">
        <f t="shared" si="32"/>
        <v>0.15888524596182318</v>
      </c>
      <c r="AS29" s="17"/>
      <c r="AU29" s="14">
        <v>96</v>
      </c>
      <c r="AV29" s="15">
        <f t="shared" si="33"/>
        <v>0.05333333333333334</v>
      </c>
      <c r="AW29" s="14">
        <v>1</v>
      </c>
      <c r="AX29" s="14">
        <v>9.41984</v>
      </c>
      <c r="AY29" s="14">
        <v>0</v>
      </c>
      <c r="AZ29" s="14">
        <v>3.341735107421875</v>
      </c>
      <c r="BA29" s="14">
        <v>2.2970836106138357</v>
      </c>
      <c r="BB29" s="14">
        <f t="shared" si="34"/>
        <v>15.058658718035712</v>
      </c>
      <c r="BC29" s="16">
        <f t="shared" si="35"/>
        <v>0.15888524596182318</v>
      </c>
      <c r="BD29" s="17"/>
    </row>
    <row r="30" spans="1:56" ht="12.75">
      <c r="A30" s="13">
        <v>3.5</v>
      </c>
      <c r="B30" s="13" t="s">
        <v>887</v>
      </c>
      <c r="C30" s="14">
        <f t="shared" si="38"/>
        <v>524</v>
      </c>
      <c r="D30" s="15">
        <f t="shared" si="39"/>
        <v>0.2911111111111111</v>
      </c>
      <c r="E30" s="14">
        <f t="shared" si="40"/>
        <v>0</v>
      </c>
      <c r="F30" s="14">
        <f t="shared" si="41"/>
        <v>45.13433555555555</v>
      </c>
      <c r="G30" s="14">
        <f t="shared" si="42"/>
        <v>0</v>
      </c>
      <c r="H30" s="14">
        <f t="shared" si="43"/>
        <v>0</v>
      </c>
      <c r="I30" s="14">
        <f t="shared" si="44"/>
        <v>3.197462936534799</v>
      </c>
      <c r="J30" s="14">
        <f t="shared" si="45"/>
        <v>48.33179849209035</v>
      </c>
      <c r="K30" s="16"/>
      <c r="L30" s="17"/>
      <c r="N30" s="14">
        <v>284</v>
      </c>
      <c r="O30" s="15">
        <f t="shared" si="24"/>
        <v>0.15777777777777777</v>
      </c>
      <c r="P30" s="14">
        <v>0</v>
      </c>
      <c r="Q30" s="14">
        <v>24.612257777777778</v>
      </c>
      <c r="R30" s="14">
        <v>0</v>
      </c>
      <c r="S30" s="14">
        <v>0</v>
      </c>
      <c r="T30" s="14">
        <v>1.2306129072264498</v>
      </c>
      <c r="U30" s="14">
        <f t="shared" si="46"/>
        <v>25.84287068500423</v>
      </c>
      <c r="V30" s="16">
        <f t="shared" si="26"/>
        <v>0.5346970626229334</v>
      </c>
      <c r="W30" s="17"/>
      <c r="Y30" s="14">
        <v>140</v>
      </c>
      <c r="Z30" s="15">
        <f t="shared" si="27"/>
        <v>0.07777777777777778</v>
      </c>
      <c r="AA30" s="14">
        <v>0</v>
      </c>
      <c r="AB30" s="14">
        <v>11.505977777777776</v>
      </c>
      <c r="AC30" s="14">
        <v>0</v>
      </c>
      <c r="AD30" s="14">
        <v>0</v>
      </c>
      <c r="AE30" s="14">
        <v>1.1505977949230206</v>
      </c>
      <c r="AF30" s="14">
        <f t="shared" si="47"/>
        <v>12.656575572700797</v>
      </c>
      <c r="AG30" s="16">
        <f t="shared" si="29"/>
        <v>0.2618684999849961</v>
      </c>
      <c r="AH30" s="17"/>
      <c r="AJ30" s="14">
        <v>80</v>
      </c>
      <c r="AK30" s="15">
        <f t="shared" si="30"/>
        <v>0.044444444444444446</v>
      </c>
      <c r="AL30" s="14">
        <v>0</v>
      </c>
      <c r="AM30" s="14">
        <v>7.308944444444444</v>
      </c>
      <c r="AN30" s="14">
        <v>0</v>
      </c>
      <c r="AO30" s="14">
        <v>0</v>
      </c>
      <c r="AP30" s="14">
        <v>0.7308944553356204</v>
      </c>
      <c r="AQ30" s="14">
        <f t="shared" si="48"/>
        <v>8.039838899780065</v>
      </c>
      <c r="AR30" s="16">
        <f t="shared" si="32"/>
        <v>0.16634677687601074</v>
      </c>
      <c r="AS30" s="17"/>
      <c r="AU30" s="14">
        <v>20</v>
      </c>
      <c r="AV30" s="15">
        <f t="shared" si="33"/>
        <v>0.011111111111111112</v>
      </c>
      <c r="AW30" s="14">
        <v>0</v>
      </c>
      <c r="AX30" s="14">
        <v>1.7071555555555555</v>
      </c>
      <c r="AY30" s="14">
        <v>0</v>
      </c>
      <c r="AZ30" s="14">
        <v>0</v>
      </c>
      <c r="BA30" s="14">
        <v>0.08535777904970779</v>
      </c>
      <c r="BB30" s="14">
        <f t="shared" si="34"/>
        <v>1.7925133346052633</v>
      </c>
      <c r="BC30" s="16">
        <f t="shared" si="35"/>
        <v>0.03708766051605991</v>
      </c>
      <c r="BD30" s="17"/>
    </row>
    <row r="31" spans="1:56" ht="12.75">
      <c r="A31" s="13">
        <v>3.6</v>
      </c>
      <c r="B31" s="13" t="s">
        <v>888</v>
      </c>
      <c r="C31" s="14">
        <f t="shared" si="38"/>
        <v>1672</v>
      </c>
      <c r="D31" s="15">
        <f t="shared" si="39"/>
        <v>0.9288888888888888</v>
      </c>
      <c r="E31" s="14">
        <f t="shared" si="40"/>
        <v>14</v>
      </c>
      <c r="F31" s="14">
        <f t="shared" si="41"/>
        <v>140.77784000000003</v>
      </c>
      <c r="G31" s="14">
        <f t="shared" si="42"/>
        <v>0</v>
      </c>
      <c r="H31" s="14">
        <f t="shared" si="43"/>
        <v>28.26214599609375</v>
      </c>
      <c r="I31" s="14">
        <f t="shared" si="44"/>
        <v>31.166834951658714</v>
      </c>
      <c r="J31" s="14">
        <f t="shared" si="45"/>
        <v>200.20682094775248</v>
      </c>
      <c r="K31" s="16"/>
      <c r="L31" s="17"/>
      <c r="N31" s="14">
        <v>280</v>
      </c>
      <c r="O31" s="15">
        <f t="shared" si="24"/>
        <v>0.15555555555555556</v>
      </c>
      <c r="P31" s="14">
        <v>4</v>
      </c>
      <c r="Q31" s="14">
        <v>22.98105777777778</v>
      </c>
      <c r="R31" s="14">
        <v>0</v>
      </c>
      <c r="S31" s="14">
        <v>8.521404296875</v>
      </c>
      <c r="T31" s="14">
        <v>4.41034470922832</v>
      </c>
      <c r="U31" s="14">
        <f t="shared" si="46"/>
        <v>35.9128067838811</v>
      </c>
      <c r="V31" s="16">
        <f t="shared" si="26"/>
        <v>0.17937853772351336</v>
      </c>
      <c r="W31" s="17"/>
      <c r="Y31" s="14">
        <v>832</v>
      </c>
      <c r="Z31" s="15">
        <f t="shared" si="27"/>
        <v>0.4622222222222222</v>
      </c>
      <c r="AA31" s="14">
        <v>4</v>
      </c>
      <c r="AB31" s="14">
        <v>71.4261688888889</v>
      </c>
      <c r="AC31" s="14">
        <v>0</v>
      </c>
      <c r="AD31" s="14">
        <v>6.0986357421875</v>
      </c>
      <c r="AE31" s="14">
        <v>10.853472694559079</v>
      </c>
      <c r="AF31" s="14">
        <f t="shared" si="47"/>
        <v>88.37827732563547</v>
      </c>
      <c r="AG31" s="16">
        <f t="shared" si="29"/>
        <v>0.4414348967096348</v>
      </c>
      <c r="AH31" s="17"/>
      <c r="AJ31" s="14">
        <v>416</v>
      </c>
      <c r="AK31" s="15">
        <f t="shared" si="30"/>
        <v>0.2311111111111111</v>
      </c>
      <c r="AL31" s="14">
        <v>4</v>
      </c>
      <c r="AM31" s="14">
        <v>35.91733333333333</v>
      </c>
      <c r="AN31" s="14">
        <v>0</v>
      </c>
      <c r="AO31" s="14">
        <v>6.0986357421875</v>
      </c>
      <c r="AP31" s="14">
        <v>10.503992268880207</v>
      </c>
      <c r="AQ31" s="14">
        <f t="shared" si="48"/>
        <v>52.51996134440104</v>
      </c>
      <c r="AR31" s="16">
        <f t="shared" si="32"/>
        <v>0.26232853154442254</v>
      </c>
      <c r="AS31" s="17"/>
      <c r="AU31" s="14">
        <v>144</v>
      </c>
      <c r="AV31" s="15">
        <f t="shared" si="33"/>
        <v>0.08</v>
      </c>
      <c r="AW31" s="14">
        <v>2</v>
      </c>
      <c r="AX31" s="14">
        <v>10.45328</v>
      </c>
      <c r="AY31" s="14">
        <v>0</v>
      </c>
      <c r="AZ31" s="14">
        <v>7.54347021484375</v>
      </c>
      <c r="BA31" s="14">
        <v>5.399025278991106</v>
      </c>
      <c r="BB31" s="14">
        <f t="shared" si="34"/>
        <v>23.395775493834854</v>
      </c>
      <c r="BC31" s="16">
        <f t="shared" si="35"/>
        <v>0.11685803402242922</v>
      </c>
      <c r="BD31" s="17"/>
    </row>
    <row r="32" spans="1:56" ht="12.75">
      <c r="A32" s="13">
        <v>3.7</v>
      </c>
      <c r="B32" s="13" t="s">
        <v>889</v>
      </c>
      <c r="C32" s="14">
        <f t="shared" si="38"/>
        <v>684</v>
      </c>
      <c r="D32" s="15">
        <f t="shared" si="39"/>
        <v>0.38</v>
      </c>
      <c r="E32" s="14">
        <f t="shared" si="40"/>
        <v>0</v>
      </c>
      <c r="F32" s="14">
        <f t="shared" si="41"/>
        <v>33.928686666666664</v>
      </c>
      <c r="G32" s="14">
        <f t="shared" si="42"/>
        <v>0</v>
      </c>
      <c r="H32" s="14">
        <f t="shared" si="43"/>
        <v>0</v>
      </c>
      <c r="I32" s="14">
        <f t="shared" si="44"/>
        <v>13.910761411994894</v>
      </c>
      <c r="J32" s="14">
        <f t="shared" si="45"/>
        <v>47.83944807866156</v>
      </c>
      <c r="K32" s="16"/>
      <c r="L32" s="17"/>
      <c r="N32" s="14">
        <v>218</v>
      </c>
      <c r="O32" s="15">
        <f t="shared" si="24"/>
        <v>0.12111111111111111</v>
      </c>
      <c r="P32" s="14">
        <v>0</v>
      </c>
      <c r="Q32" s="14">
        <v>11.622043333333334</v>
      </c>
      <c r="R32" s="14">
        <v>0</v>
      </c>
      <c r="S32" s="14">
        <v>0</v>
      </c>
      <c r="T32" s="14">
        <v>4.765037725103</v>
      </c>
      <c r="U32" s="14">
        <f t="shared" si="46"/>
        <v>16.387081058436333</v>
      </c>
      <c r="V32" s="16">
        <f t="shared" si="26"/>
        <v>0.3425432716425019</v>
      </c>
      <c r="W32" s="17"/>
      <c r="Y32" s="14">
        <v>180</v>
      </c>
      <c r="Z32" s="15">
        <f t="shared" si="27"/>
        <v>0.1</v>
      </c>
      <c r="AA32" s="14">
        <v>0</v>
      </c>
      <c r="AB32" s="14">
        <v>8.616299999999999</v>
      </c>
      <c r="AC32" s="14">
        <v>0</v>
      </c>
      <c r="AD32" s="14">
        <v>0</v>
      </c>
      <c r="AE32" s="14">
        <v>3.53268296918571</v>
      </c>
      <c r="AF32" s="14">
        <f t="shared" si="47"/>
        <v>12.14898296918571</v>
      </c>
      <c r="AG32" s="16">
        <f t="shared" si="29"/>
        <v>0.2539532427131967</v>
      </c>
      <c r="AH32" s="17"/>
      <c r="AJ32" s="14">
        <v>208</v>
      </c>
      <c r="AK32" s="15">
        <f t="shared" si="30"/>
        <v>0.11555555555555555</v>
      </c>
      <c r="AL32" s="14">
        <v>0</v>
      </c>
      <c r="AM32" s="14">
        <v>9.956613333333333</v>
      </c>
      <c r="AN32" s="14">
        <v>0</v>
      </c>
      <c r="AO32" s="14">
        <v>0</v>
      </c>
      <c r="AP32" s="14">
        <v>4.082211431059043</v>
      </c>
      <c r="AQ32" s="14">
        <f t="shared" si="48"/>
        <v>14.038824764392377</v>
      </c>
      <c r="AR32" s="16">
        <f t="shared" si="32"/>
        <v>0.2934570804685828</v>
      </c>
      <c r="AS32" s="17"/>
      <c r="AU32" s="14">
        <v>78</v>
      </c>
      <c r="AV32" s="15">
        <f t="shared" si="33"/>
        <v>0.043333333333333335</v>
      </c>
      <c r="AW32" s="14">
        <v>0</v>
      </c>
      <c r="AX32" s="14">
        <v>3.73373</v>
      </c>
      <c r="AY32" s="14">
        <v>0</v>
      </c>
      <c r="AZ32" s="14">
        <v>0</v>
      </c>
      <c r="BA32" s="14">
        <v>1.5308292866471411</v>
      </c>
      <c r="BB32" s="14">
        <f t="shared" si="34"/>
        <v>5.264559286647141</v>
      </c>
      <c r="BC32" s="16">
        <f t="shared" si="35"/>
        <v>0.11004640517571856</v>
      </c>
      <c r="BD32" s="17"/>
    </row>
    <row r="33" spans="1:56" ht="12.75">
      <c r="A33" s="13">
        <v>3.8</v>
      </c>
      <c r="B33" s="13" t="s">
        <v>890</v>
      </c>
      <c r="C33" s="14">
        <f t="shared" si="38"/>
        <v>253</v>
      </c>
      <c r="D33" s="15">
        <f t="shared" si="39"/>
        <v>0.14055555555555554</v>
      </c>
      <c r="E33" s="14">
        <f t="shared" si="40"/>
        <v>0</v>
      </c>
      <c r="F33" s="14">
        <f t="shared" si="41"/>
        <v>13.115788333333334</v>
      </c>
      <c r="G33" s="14">
        <f t="shared" si="42"/>
        <v>0</v>
      </c>
      <c r="H33" s="14">
        <f t="shared" si="43"/>
        <v>0</v>
      </c>
      <c r="I33" s="14">
        <f t="shared" si="44"/>
        <v>1.8362103744842857</v>
      </c>
      <c r="J33" s="14">
        <f t="shared" si="45"/>
        <v>14.95199870781762</v>
      </c>
      <c r="K33" s="16"/>
      <c r="L33" s="17"/>
      <c r="N33" s="14">
        <v>20</v>
      </c>
      <c r="O33" s="15">
        <f t="shared" si="24"/>
        <v>0.011111111111111112</v>
      </c>
      <c r="P33" s="14">
        <v>0</v>
      </c>
      <c r="Q33" s="14">
        <v>1.9624666666666668</v>
      </c>
      <c r="R33" s="14">
        <v>0</v>
      </c>
      <c r="S33" s="14">
        <v>0</v>
      </c>
      <c r="T33" s="14">
        <v>0.2747453345030546</v>
      </c>
      <c r="U33" s="14">
        <f t="shared" si="46"/>
        <v>2.2372120011697216</v>
      </c>
      <c r="V33" s="16">
        <f t="shared" si="26"/>
        <v>0.14962628374225315</v>
      </c>
      <c r="W33" s="17"/>
      <c r="Y33" s="14">
        <v>90</v>
      </c>
      <c r="Z33" s="15">
        <f t="shared" si="27"/>
        <v>0.05</v>
      </c>
      <c r="AA33" s="14">
        <v>0</v>
      </c>
      <c r="AB33" s="14">
        <v>4.3081499999999995</v>
      </c>
      <c r="AC33" s="14">
        <v>0</v>
      </c>
      <c r="AD33" s="14">
        <v>0</v>
      </c>
      <c r="AE33" s="14">
        <v>0.6031410025678574</v>
      </c>
      <c r="AF33" s="14">
        <f t="shared" si="47"/>
        <v>4.911291002567857</v>
      </c>
      <c r="AG33" s="16">
        <f t="shared" si="29"/>
        <v>0.3284705341768121</v>
      </c>
      <c r="AH33" s="17"/>
      <c r="AJ33" s="14">
        <v>104</v>
      </c>
      <c r="AK33" s="15">
        <f t="shared" si="30"/>
        <v>0.057777777777777775</v>
      </c>
      <c r="AL33" s="14">
        <v>0</v>
      </c>
      <c r="AM33" s="14">
        <v>4.978306666666667</v>
      </c>
      <c r="AN33" s="14">
        <v>0</v>
      </c>
      <c r="AO33" s="14">
        <v>0</v>
      </c>
      <c r="AP33" s="14">
        <v>0.6969629363006353</v>
      </c>
      <c r="AQ33" s="14">
        <f t="shared" si="48"/>
        <v>5.675269602967302</v>
      </c>
      <c r="AR33" s="16">
        <f t="shared" si="32"/>
        <v>0.3795659506043162</v>
      </c>
      <c r="AS33" s="17"/>
      <c r="AU33" s="14">
        <v>39</v>
      </c>
      <c r="AV33" s="15">
        <f t="shared" si="33"/>
        <v>0.021666666666666667</v>
      </c>
      <c r="AW33" s="14">
        <v>0</v>
      </c>
      <c r="AX33" s="14">
        <v>1.866865</v>
      </c>
      <c r="AY33" s="14">
        <v>0</v>
      </c>
      <c r="AZ33" s="14">
        <v>0</v>
      </c>
      <c r="BA33" s="14">
        <v>0.26136110111273825</v>
      </c>
      <c r="BB33" s="14">
        <f t="shared" si="34"/>
        <v>2.1282261011127384</v>
      </c>
      <c r="BC33" s="16">
        <f t="shared" si="35"/>
        <v>0.1423372314766186</v>
      </c>
      <c r="BD33" s="17"/>
    </row>
    <row r="34" spans="1:56" ht="12.75">
      <c r="A34" s="24">
        <v>3.9</v>
      </c>
      <c r="B34" s="13" t="s">
        <v>891</v>
      </c>
      <c r="C34" s="14">
        <f t="shared" si="38"/>
        <v>2000</v>
      </c>
      <c r="D34" s="15">
        <f t="shared" si="39"/>
        <v>1.1111111111111112</v>
      </c>
      <c r="E34" s="14">
        <f t="shared" si="40"/>
        <v>1</v>
      </c>
      <c r="F34" s="14">
        <f t="shared" si="41"/>
        <v>196.69733333333335</v>
      </c>
      <c r="G34" s="14">
        <f t="shared" si="42"/>
        <v>154.5</v>
      </c>
      <c r="H34" s="14">
        <f t="shared" si="43"/>
        <v>3.771735107421875</v>
      </c>
      <c r="I34" s="14">
        <f t="shared" si="44"/>
        <v>27.08726177087722</v>
      </c>
      <c r="J34" s="14">
        <f t="shared" si="45"/>
        <v>382.0563302116324</v>
      </c>
      <c r="K34" s="16"/>
      <c r="L34" s="17"/>
      <c r="N34" s="14">
        <v>700</v>
      </c>
      <c r="O34" s="15">
        <f t="shared" si="24"/>
        <v>0.3888888888888889</v>
      </c>
      <c r="P34" s="14">
        <v>0</v>
      </c>
      <c r="Q34" s="14">
        <v>71.35211111111111</v>
      </c>
      <c r="R34" s="233">
        <f>108.15-35-73.15</f>
        <v>0</v>
      </c>
      <c r="S34" s="14">
        <v>0</v>
      </c>
      <c r="T34" s="233">
        <f>SUM(Q34:S34)*0.05</f>
        <v>3.5676055555555557</v>
      </c>
      <c r="U34" s="14">
        <f t="shared" si="46"/>
        <v>74.91971666666667</v>
      </c>
      <c r="V34" s="16">
        <f t="shared" si="26"/>
        <v>0.19609599617199486</v>
      </c>
      <c r="W34" s="17"/>
      <c r="Y34" s="14">
        <v>800</v>
      </c>
      <c r="Z34" s="15">
        <f t="shared" si="27"/>
        <v>0.4444444444444444</v>
      </c>
      <c r="AA34" s="14">
        <v>1</v>
      </c>
      <c r="AB34" s="14">
        <v>83.83022222222222</v>
      </c>
      <c r="AC34" s="14">
        <v>154.5</v>
      </c>
      <c r="AD34" s="14">
        <v>3.771735107421875</v>
      </c>
      <c r="AE34" s="14">
        <v>19.36815615345949</v>
      </c>
      <c r="AF34" s="14">
        <f t="shared" si="47"/>
        <v>261.4701134831036</v>
      </c>
      <c r="AG34" s="16">
        <f t="shared" si="29"/>
        <v>0.6843758179278628</v>
      </c>
      <c r="AH34" s="17"/>
      <c r="AJ34" s="14">
        <v>500</v>
      </c>
      <c r="AK34" s="15">
        <f t="shared" si="30"/>
        <v>0.2777777777777778</v>
      </c>
      <c r="AL34" s="14">
        <v>0</v>
      </c>
      <c r="AM34" s="14">
        <v>41.515</v>
      </c>
      <c r="AN34" s="14">
        <v>0</v>
      </c>
      <c r="AO34" s="14">
        <v>0</v>
      </c>
      <c r="AP34" s="14">
        <v>4.151500061862171</v>
      </c>
      <c r="AQ34" s="14">
        <f t="shared" si="48"/>
        <v>45.66650006186217</v>
      </c>
      <c r="AR34" s="16">
        <f t="shared" si="32"/>
        <v>0.11952818590014234</v>
      </c>
      <c r="AS34" s="17"/>
      <c r="AU34" s="14">
        <v>0</v>
      </c>
      <c r="AV34" s="15">
        <f t="shared" si="33"/>
        <v>0</v>
      </c>
      <c r="AW34" s="14">
        <v>0</v>
      </c>
      <c r="AX34" s="14">
        <v>0</v>
      </c>
      <c r="AY34" s="14">
        <v>0</v>
      </c>
      <c r="AZ34" s="14">
        <v>0</v>
      </c>
      <c r="BA34" s="14">
        <v>0</v>
      </c>
      <c r="BB34" s="14">
        <f t="shared" si="34"/>
        <v>0</v>
      </c>
      <c r="BC34" s="16">
        <f t="shared" si="35"/>
        <v>0</v>
      </c>
      <c r="BD34" s="17"/>
    </row>
    <row r="35" spans="1:56" ht="12.75">
      <c r="A35" s="24" t="s">
        <v>892</v>
      </c>
      <c r="B35" s="13" t="s">
        <v>893</v>
      </c>
      <c r="C35" s="14">
        <f t="shared" si="38"/>
        <v>340</v>
      </c>
      <c r="D35" s="15">
        <f t="shared" si="39"/>
        <v>0.18888888888888888</v>
      </c>
      <c r="E35" s="14">
        <f t="shared" si="40"/>
        <v>0</v>
      </c>
      <c r="F35" s="14">
        <f t="shared" si="41"/>
        <v>38.693488888888886</v>
      </c>
      <c r="G35" s="14">
        <f t="shared" si="42"/>
        <v>0</v>
      </c>
      <c r="H35" s="14">
        <f t="shared" si="43"/>
        <v>0</v>
      </c>
      <c r="I35" s="14">
        <f t="shared" si="44"/>
        <v>1.9346744732733405</v>
      </c>
      <c r="J35" s="14">
        <f t="shared" si="45"/>
        <v>40.628163362162226</v>
      </c>
      <c r="K35" s="16"/>
      <c r="L35" s="17"/>
      <c r="N35" s="14">
        <v>120</v>
      </c>
      <c r="O35" s="15">
        <f t="shared" si="24"/>
        <v>0.06666666666666667</v>
      </c>
      <c r="P35" s="14">
        <v>0</v>
      </c>
      <c r="Q35" s="14">
        <v>13.907422222222223</v>
      </c>
      <c r="R35" s="14">
        <v>0</v>
      </c>
      <c r="S35" s="14">
        <v>0</v>
      </c>
      <c r="T35" s="14">
        <v>0.6953711214729482</v>
      </c>
      <c r="U35" s="14">
        <f t="shared" si="46"/>
        <v>14.602793343695172</v>
      </c>
      <c r="V35" s="16">
        <f t="shared" si="26"/>
        <v>0.35942538710216543</v>
      </c>
      <c r="W35" s="17"/>
      <c r="Y35" s="14">
        <v>100</v>
      </c>
      <c r="Z35" s="15">
        <f t="shared" si="27"/>
        <v>0.05555555555555555</v>
      </c>
      <c r="AA35" s="14">
        <v>0</v>
      </c>
      <c r="AB35" s="14">
        <v>11.4118</v>
      </c>
      <c r="AC35" s="14">
        <v>0</v>
      </c>
      <c r="AD35" s="14">
        <v>0</v>
      </c>
      <c r="AE35" s="14">
        <v>0.5705900085024536</v>
      </c>
      <c r="AF35" s="14">
        <f t="shared" si="47"/>
        <v>11.982390008502453</v>
      </c>
      <c r="AG35" s="16">
        <f t="shared" si="29"/>
        <v>0.29492817338777066</v>
      </c>
      <c r="AH35" s="17"/>
      <c r="AJ35" s="14">
        <v>80</v>
      </c>
      <c r="AK35" s="15">
        <f t="shared" si="30"/>
        <v>0.044444444444444446</v>
      </c>
      <c r="AL35" s="14">
        <v>0</v>
      </c>
      <c r="AM35" s="14">
        <v>8.91617777777778</v>
      </c>
      <c r="AN35" s="14">
        <v>0</v>
      </c>
      <c r="AO35" s="14">
        <v>0</v>
      </c>
      <c r="AP35" s="14">
        <v>0.44580889553195907</v>
      </c>
      <c r="AQ35" s="14">
        <f t="shared" si="48"/>
        <v>9.361986673309739</v>
      </c>
      <c r="AR35" s="16">
        <f t="shared" si="32"/>
        <v>0.23043095967337607</v>
      </c>
      <c r="AS35" s="17"/>
      <c r="AU35" s="14">
        <v>40</v>
      </c>
      <c r="AV35" s="15">
        <f t="shared" si="33"/>
        <v>0.022222222222222223</v>
      </c>
      <c r="AW35" s="14">
        <v>0</v>
      </c>
      <c r="AX35" s="14">
        <v>4.45808888888889</v>
      </c>
      <c r="AY35" s="14">
        <v>0</v>
      </c>
      <c r="AZ35" s="14">
        <v>0</v>
      </c>
      <c r="BA35" s="14">
        <v>0.22290444776597954</v>
      </c>
      <c r="BB35" s="14">
        <f t="shared" si="34"/>
        <v>4.680993336654869</v>
      </c>
      <c r="BC35" s="16">
        <f t="shared" si="35"/>
        <v>0.11521547983668803</v>
      </c>
      <c r="BD35" s="17"/>
    </row>
    <row r="36" spans="1:56" ht="12.75">
      <c r="A36" s="8">
        <v>4</v>
      </c>
      <c r="B36" s="9" t="s">
        <v>894</v>
      </c>
      <c r="C36" s="10"/>
      <c r="D36" s="10"/>
      <c r="E36" s="10"/>
      <c r="F36" s="10"/>
      <c r="G36" s="10"/>
      <c r="H36" s="10"/>
      <c r="I36" s="10"/>
      <c r="J36" s="10"/>
      <c r="K36" s="11">
        <f>L36/L$108</f>
        <v>0.3728862027098374</v>
      </c>
      <c r="L36" s="12">
        <f>SUM(J37:J65)</f>
        <v>14950.193400760256</v>
      </c>
      <c r="N36" s="10"/>
      <c r="O36" s="10"/>
      <c r="P36" s="10"/>
      <c r="Q36" s="10"/>
      <c r="R36" s="10"/>
      <c r="S36" s="10"/>
      <c r="T36" s="10"/>
      <c r="U36" s="10"/>
      <c r="V36" s="10"/>
      <c r="W36" s="12">
        <f>SUM(U37:U65)</f>
        <v>905.444138493297</v>
      </c>
      <c r="Y36" s="10"/>
      <c r="Z36" s="10"/>
      <c r="AA36" s="10"/>
      <c r="AB36" s="10"/>
      <c r="AC36" s="10"/>
      <c r="AD36" s="10"/>
      <c r="AE36" s="10"/>
      <c r="AF36" s="10"/>
      <c r="AG36" s="10"/>
      <c r="AH36" s="12">
        <f>SUM(AF37:AF65)</f>
        <v>2639.5313855821328</v>
      </c>
      <c r="AJ36" s="10"/>
      <c r="AK36" s="10"/>
      <c r="AL36" s="10"/>
      <c r="AM36" s="10"/>
      <c r="AN36" s="10"/>
      <c r="AO36" s="10"/>
      <c r="AP36" s="10"/>
      <c r="AQ36" s="10"/>
      <c r="AR36" s="10"/>
      <c r="AS36" s="12">
        <f>SUM(AQ37:AQ65)</f>
        <v>11401.708543349001</v>
      </c>
      <c r="AU36" s="10"/>
      <c r="AV36" s="10"/>
      <c r="AW36" s="10"/>
      <c r="AX36" s="10"/>
      <c r="AY36" s="10"/>
      <c r="AZ36" s="10"/>
      <c r="BA36" s="10"/>
      <c r="BB36" s="10"/>
      <c r="BC36" s="10"/>
      <c r="BD36" s="12">
        <f>SUM(BB37:BB65)</f>
        <v>3.5093333358234826</v>
      </c>
    </row>
    <row r="37" spans="1:55" ht="12.75">
      <c r="A37" s="13">
        <v>4.1</v>
      </c>
      <c r="B37" s="19" t="s">
        <v>895</v>
      </c>
      <c r="C37" s="14">
        <f aca="true" t="shared" si="49" ref="C37:I37">SUM(N37,Y37,AJ37,AU37)</f>
        <v>520</v>
      </c>
      <c r="D37" s="15">
        <f t="shared" si="49"/>
        <v>0.28888888888888886</v>
      </c>
      <c r="E37" s="14">
        <f t="shared" si="49"/>
        <v>0</v>
      </c>
      <c r="F37" s="14">
        <f t="shared" si="49"/>
        <v>34.666511111111106</v>
      </c>
      <c r="G37" s="14">
        <f t="shared" si="49"/>
        <v>468</v>
      </c>
      <c r="H37" s="14">
        <f t="shared" si="49"/>
        <v>0</v>
      </c>
      <c r="I37" s="14">
        <f t="shared" si="49"/>
        <v>89.26042268483937</v>
      </c>
      <c r="J37" s="14">
        <f>SUM(F37:I37)</f>
        <v>591.9269337959505</v>
      </c>
      <c r="K37" s="16"/>
      <c r="N37" s="14">
        <v>300</v>
      </c>
      <c r="O37" s="15">
        <f t="shared" si="24"/>
        <v>0.16666666666666666</v>
      </c>
      <c r="P37" s="14">
        <v>0</v>
      </c>
      <c r="Q37" s="14">
        <v>21.777666666666665</v>
      </c>
      <c r="R37" s="14">
        <v>0</v>
      </c>
      <c r="S37" s="14">
        <v>0</v>
      </c>
      <c r="T37" s="14">
        <v>3.0488733463138336</v>
      </c>
      <c r="U37" s="14">
        <f>SUM(Q37:T37)</f>
        <v>24.826540012980498</v>
      </c>
      <c r="V37" s="16">
        <f t="shared" si="26"/>
        <v>0.041941899574954505</v>
      </c>
      <c r="Y37" s="14">
        <v>120</v>
      </c>
      <c r="Z37" s="15">
        <f t="shared" si="27"/>
        <v>0.06666666666666667</v>
      </c>
      <c r="AA37" s="14">
        <v>0</v>
      </c>
      <c r="AB37" s="14">
        <v>8.711066666666666</v>
      </c>
      <c r="AC37" s="14">
        <v>0</v>
      </c>
      <c r="AD37" s="14">
        <v>0</v>
      </c>
      <c r="AE37" s="14">
        <v>1.2195493385255336</v>
      </c>
      <c r="AF37" s="14">
        <f>SUM(AB37:AE37)</f>
        <v>9.9306160051922</v>
      </c>
      <c r="AG37" s="16">
        <f t="shared" si="29"/>
        <v>0.0167767598299818</v>
      </c>
      <c r="AJ37" s="14">
        <v>100</v>
      </c>
      <c r="AK37" s="15">
        <f t="shared" si="30"/>
        <v>0.05555555555555555</v>
      </c>
      <c r="AL37" s="14">
        <v>0</v>
      </c>
      <c r="AM37" s="14">
        <v>4.177777777777778</v>
      </c>
      <c r="AN37" s="233">
        <f>618-150</f>
        <v>468</v>
      </c>
      <c r="AO37" s="14">
        <v>0</v>
      </c>
      <c r="AP37" s="233">
        <f>SUM(AM37:AO37)*0.18</f>
        <v>84.992</v>
      </c>
      <c r="AQ37" s="14">
        <f>SUM(AM37:AP37)</f>
        <v>557.1697777777778</v>
      </c>
      <c r="AR37" s="16">
        <f t="shared" si="32"/>
        <v>0.9412813405950636</v>
      </c>
      <c r="AU37" s="14">
        <v>0</v>
      </c>
      <c r="AV37" s="15">
        <f t="shared" si="33"/>
        <v>0</v>
      </c>
      <c r="AW37" s="14">
        <v>0</v>
      </c>
      <c r="AX37" s="14">
        <v>0</v>
      </c>
      <c r="AY37" s="14">
        <v>0</v>
      </c>
      <c r="AZ37" s="14">
        <v>0</v>
      </c>
      <c r="BA37" s="14">
        <v>0</v>
      </c>
      <c r="BB37" s="14">
        <f t="shared" si="34"/>
        <v>0</v>
      </c>
      <c r="BC37" s="16">
        <f t="shared" si="35"/>
        <v>0</v>
      </c>
    </row>
    <row r="38" spans="1:55" ht="12.75">
      <c r="A38" s="13">
        <v>4.2</v>
      </c>
      <c r="B38" s="19" t="s">
        <v>896</v>
      </c>
      <c r="K38" s="22"/>
      <c r="V38" s="22"/>
      <c r="AG38" s="22"/>
      <c r="AR38" s="22"/>
      <c r="BC38" s="22"/>
    </row>
    <row r="39" spans="1:55" ht="12.75">
      <c r="A39" s="23" t="s">
        <v>897</v>
      </c>
      <c r="B39" s="19" t="s">
        <v>898</v>
      </c>
      <c r="C39" s="14">
        <f aca="true" t="shared" si="50" ref="C39:C48">SUM(N39,Y39,AJ39,AU39)</f>
        <v>1920</v>
      </c>
      <c r="D39" s="15">
        <f aca="true" t="shared" si="51" ref="D39:D48">SUM(O39,Z39,AK39,AV39)</f>
        <v>1.0666666666666667</v>
      </c>
      <c r="E39" s="14">
        <f aca="true" t="shared" si="52" ref="E39:E48">SUM(P39,AA39,AL39,AW39)</f>
        <v>0</v>
      </c>
      <c r="F39" s="14">
        <f>SUM(Q39,AB39,AM39,AX39)</f>
        <v>104.86488888888888</v>
      </c>
      <c r="G39" s="14">
        <f>SUM(R39,AC39,AN39,AY39)</f>
        <v>113.3</v>
      </c>
      <c r="H39" s="14">
        <f>SUM(S39,AD39,AO39,AZ39)</f>
        <v>0</v>
      </c>
      <c r="I39" s="14">
        <f>SUM(T39,AE39,AP39,BA39)</f>
        <v>65.4494692673948</v>
      </c>
      <c r="J39" s="14">
        <f aca="true" t="shared" si="53" ref="J39:J48">SUM(F39:I39)</f>
        <v>283.6143581562837</v>
      </c>
      <c r="K39" s="16"/>
      <c r="N39" s="14">
        <v>160</v>
      </c>
      <c r="O39" s="15">
        <f t="shared" si="24"/>
        <v>0.08888888888888889</v>
      </c>
      <c r="P39" s="14">
        <v>0</v>
      </c>
      <c r="Q39" s="14">
        <v>11.614755555555556</v>
      </c>
      <c r="R39" s="14">
        <v>0</v>
      </c>
      <c r="S39" s="14">
        <v>0</v>
      </c>
      <c r="T39" s="14">
        <v>3.4844268051253424</v>
      </c>
      <c r="U39" s="14">
        <f aca="true" t="shared" si="54" ref="U39:U48">SUM(Q39:T39)</f>
        <v>15.0991823606809</v>
      </c>
      <c r="V39" s="16">
        <f t="shared" si="26"/>
        <v>0.053238427203888605</v>
      </c>
      <c r="Y39" s="14">
        <v>480</v>
      </c>
      <c r="Z39" s="15">
        <f t="shared" si="27"/>
        <v>0.26666666666666666</v>
      </c>
      <c r="AA39" s="14">
        <v>0</v>
      </c>
      <c r="AB39" s="14">
        <v>34.84426666666666</v>
      </c>
      <c r="AC39" s="14">
        <v>0</v>
      </c>
      <c r="AD39" s="14">
        <v>0</v>
      </c>
      <c r="AE39" s="14">
        <v>10.453280415376026</v>
      </c>
      <c r="AF39" s="14">
        <f aca="true" t="shared" si="55" ref="AF39:AF48">SUM(AB39:AE39)</f>
        <v>45.29754708204269</v>
      </c>
      <c r="AG39" s="16">
        <f t="shared" si="29"/>
        <v>0.1597152816116658</v>
      </c>
      <c r="AJ39" s="14">
        <v>1280</v>
      </c>
      <c r="AK39" s="15">
        <f t="shared" si="30"/>
        <v>0.7111111111111111</v>
      </c>
      <c r="AL39" s="14">
        <v>0</v>
      </c>
      <c r="AM39" s="14">
        <v>58.40586666666667</v>
      </c>
      <c r="AN39" s="14">
        <v>113.3</v>
      </c>
      <c r="AO39" s="14">
        <v>0</v>
      </c>
      <c r="AP39" s="14">
        <v>51.51176204689344</v>
      </c>
      <c r="AQ39" s="14">
        <f aca="true" t="shared" si="56" ref="AQ39:AQ48">SUM(AM39:AP39)</f>
        <v>223.21762871356012</v>
      </c>
      <c r="AR39" s="16">
        <f t="shared" si="32"/>
        <v>0.7870462911844457</v>
      </c>
      <c r="AU39" s="14">
        <v>0</v>
      </c>
      <c r="AV39" s="15">
        <f t="shared" si="33"/>
        <v>0</v>
      </c>
      <c r="AW39" s="14">
        <v>0</v>
      </c>
      <c r="AX39" s="14">
        <v>0</v>
      </c>
      <c r="AY39" s="14">
        <v>0</v>
      </c>
      <c r="AZ39" s="14">
        <v>0</v>
      </c>
      <c r="BA39" s="14">
        <v>0</v>
      </c>
      <c r="BB39" s="14">
        <f t="shared" si="34"/>
        <v>0</v>
      </c>
      <c r="BC39" s="16">
        <f t="shared" si="35"/>
        <v>0</v>
      </c>
    </row>
    <row r="40" spans="1:55" ht="12.75">
      <c r="A40" s="23" t="s">
        <v>899</v>
      </c>
      <c r="B40" s="19" t="s">
        <v>900</v>
      </c>
      <c r="C40" s="14">
        <f t="shared" si="50"/>
        <v>740</v>
      </c>
      <c r="D40" s="15">
        <f t="shared" si="51"/>
        <v>0.4111111111111111</v>
      </c>
      <c r="E40" s="14">
        <f t="shared" si="52"/>
        <v>0</v>
      </c>
      <c r="F40" s="14">
        <f aca="true" t="shared" si="57" ref="F40:F48">SUM(Q40,AB40,AM40,AX40)</f>
        <v>44.47391111111111</v>
      </c>
      <c r="G40" s="14">
        <f aca="true" t="shared" si="58" ref="G40:G48">SUM(R40,AC40,AN40,AY40)</f>
        <v>45.423</v>
      </c>
      <c r="H40" s="14">
        <f aca="true" t="shared" si="59" ref="H40:H48">SUM(S40,AD40,AO40,AZ40)</f>
        <v>0</v>
      </c>
      <c r="I40" s="14">
        <f aca="true" t="shared" si="60" ref="I40:I48">SUM(T40,AE40,AP40,BA40)</f>
        <v>23.373196031565136</v>
      </c>
      <c r="J40" s="14">
        <f t="shared" si="53"/>
        <v>113.27010714267624</v>
      </c>
      <c r="K40" s="16"/>
      <c r="N40" s="14">
        <v>120</v>
      </c>
      <c r="O40" s="15">
        <f t="shared" si="24"/>
        <v>0.06666666666666667</v>
      </c>
      <c r="P40" s="14">
        <v>0</v>
      </c>
      <c r="Q40" s="14">
        <v>8.711066666666666</v>
      </c>
      <c r="R40" s="14">
        <v>0</v>
      </c>
      <c r="S40" s="14">
        <v>0</v>
      </c>
      <c r="T40" s="14">
        <v>2.264877250258128</v>
      </c>
      <c r="U40" s="14">
        <f t="shared" si="54"/>
        <v>10.975943916924793</v>
      </c>
      <c r="V40" s="16">
        <f t="shared" si="26"/>
        <v>0.09690062271327576</v>
      </c>
      <c r="Y40" s="14">
        <v>270</v>
      </c>
      <c r="Z40" s="15">
        <f t="shared" si="27"/>
        <v>0.15</v>
      </c>
      <c r="AA40" s="14">
        <v>0</v>
      </c>
      <c r="AB40" s="14">
        <v>19.599899999999998</v>
      </c>
      <c r="AC40" s="14">
        <v>0</v>
      </c>
      <c r="AD40" s="14">
        <v>0</v>
      </c>
      <c r="AE40" s="14">
        <v>5.0959738130807875</v>
      </c>
      <c r="AF40" s="14">
        <f t="shared" si="55"/>
        <v>24.695873813080787</v>
      </c>
      <c r="AG40" s="16">
        <f t="shared" si="29"/>
        <v>0.2180264011048705</v>
      </c>
      <c r="AJ40" s="14">
        <v>350</v>
      </c>
      <c r="AK40" s="15">
        <f t="shared" si="30"/>
        <v>0.19444444444444445</v>
      </c>
      <c r="AL40" s="14">
        <v>0</v>
      </c>
      <c r="AM40" s="14">
        <v>16.162944444444445</v>
      </c>
      <c r="AN40" s="14">
        <v>45.423</v>
      </c>
      <c r="AO40" s="14">
        <v>0</v>
      </c>
      <c r="AP40" s="14">
        <v>16.012344968226223</v>
      </c>
      <c r="AQ40" s="14">
        <f t="shared" si="56"/>
        <v>77.59828941267068</v>
      </c>
      <c r="AR40" s="16">
        <f t="shared" si="32"/>
        <v>0.6850729761818539</v>
      </c>
      <c r="AU40" s="14">
        <v>0</v>
      </c>
      <c r="AV40" s="15">
        <f t="shared" si="33"/>
        <v>0</v>
      </c>
      <c r="AW40" s="14">
        <v>0</v>
      </c>
      <c r="AX40" s="14">
        <v>0</v>
      </c>
      <c r="AY40" s="14">
        <v>0</v>
      </c>
      <c r="AZ40" s="14">
        <v>0</v>
      </c>
      <c r="BA40" s="14">
        <v>0</v>
      </c>
      <c r="BB40" s="14">
        <f t="shared" si="34"/>
        <v>0</v>
      </c>
      <c r="BC40" s="16">
        <f t="shared" si="35"/>
        <v>0</v>
      </c>
    </row>
    <row r="41" spans="1:55" ht="12.75">
      <c r="A41" s="23" t="s">
        <v>901</v>
      </c>
      <c r="B41" s="19" t="s">
        <v>902</v>
      </c>
      <c r="C41" s="14">
        <f t="shared" si="50"/>
        <v>6720</v>
      </c>
      <c r="D41" s="15">
        <f t="shared" si="51"/>
        <v>3.7333333333333334</v>
      </c>
      <c r="E41" s="14">
        <f t="shared" si="52"/>
        <v>0</v>
      </c>
      <c r="F41" s="14">
        <f t="shared" si="57"/>
        <v>399.0741333333333</v>
      </c>
      <c r="G41" s="14">
        <f t="shared" si="58"/>
        <v>265.74</v>
      </c>
      <c r="H41" s="14">
        <f t="shared" si="59"/>
        <v>0</v>
      </c>
      <c r="I41" s="14">
        <f t="shared" si="60"/>
        <v>199.44424792520203</v>
      </c>
      <c r="J41" s="14">
        <f t="shared" si="53"/>
        <v>864.2583812585353</v>
      </c>
      <c r="K41" s="16"/>
      <c r="N41" s="14">
        <v>533</v>
      </c>
      <c r="O41" s="15">
        <f t="shared" si="24"/>
        <v>0.2961111111111111</v>
      </c>
      <c r="P41" s="14">
        <v>0</v>
      </c>
      <c r="Q41" s="14">
        <v>38.691654444444445</v>
      </c>
      <c r="R41" s="14">
        <v>0</v>
      </c>
      <c r="S41" s="14">
        <v>0</v>
      </c>
      <c r="T41" s="14">
        <v>11.607496794573796</v>
      </c>
      <c r="U41" s="14">
        <f t="shared" si="54"/>
        <v>50.299151239018244</v>
      </c>
      <c r="V41" s="16">
        <f t="shared" si="26"/>
        <v>0.05819920561924142</v>
      </c>
      <c r="Y41" s="14">
        <v>2827</v>
      </c>
      <c r="Z41" s="15">
        <f t="shared" si="27"/>
        <v>1.5705555555555555</v>
      </c>
      <c r="AA41" s="14">
        <v>0</v>
      </c>
      <c r="AB41" s="14">
        <v>205.2182122222222</v>
      </c>
      <c r="AC41" s="14">
        <v>0</v>
      </c>
      <c r="AD41" s="14">
        <v>0</v>
      </c>
      <c r="AE41" s="14">
        <v>61.56546611305839</v>
      </c>
      <c r="AF41" s="14">
        <f t="shared" si="55"/>
        <v>266.78367833528057</v>
      </c>
      <c r="AG41" s="16">
        <f t="shared" si="29"/>
        <v>0.3086850924682842</v>
      </c>
      <c r="AJ41" s="14">
        <v>3360</v>
      </c>
      <c r="AK41" s="15">
        <f t="shared" si="30"/>
        <v>1.8666666666666667</v>
      </c>
      <c r="AL41" s="14">
        <v>0</v>
      </c>
      <c r="AM41" s="14">
        <v>155.16426666666666</v>
      </c>
      <c r="AN41" s="14">
        <v>265.74</v>
      </c>
      <c r="AO41" s="14">
        <v>0</v>
      </c>
      <c r="AP41" s="14">
        <v>126.27128501756985</v>
      </c>
      <c r="AQ41" s="14">
        <f t="shared" si="56"/>
        <v>547.1755516842366</v>
      </c>
      <c r="AR41" s="16">
        <f t="shared" si="32"/>
        <v>0.6331157019124745</v>
      </c>
      <c r="AU41" s="14">
        <v>0</v>
      </c>
      <c r="AV41" s="15">
        <f t="shared" si="33"/>
        <v>0</v>
      </c>
      <c r="AW41" s="14">
        <v>0</v>
      </c>
      <c r="AX41" s="14">
        <v>0</v>
      </c>
      <c r="AY41" s="14">
        <v>0</v>
      </c>
      <c r="AZ41" s="14">
        <v>0</v>
      </c>
      <c r="BA41" s="14">
        <v>0</v>
      </c>
      <c r="BB41" s="14">
        <f t="shared" si="34"/>
        <v>0</v>
      </c>
      <c r="BC41" s="16">
        <f t="shared" si="35"/>
        <v>0</v>
      </c>
    </row>
    <row r="42" spans="1:55" ht="12.75">
      <c r="A42" s="23" t="s">
        <v>903</v>
      </c>
      <c r="B42" s="19" t="s">
        <v>904</v>
      </c>
      <c r="C42" s="14">
        <f t="shared" si="50"/>
        <v>2096</v>
      </c>
      <c r="D42" s="15">
        <f t="shared" si="51"/>
        <v>1.1644444444444444</v>
      </c>
      <c r="E42" s="14">
        <f t="shared" si="52"/>
        <v>0</v>
      </c>
      <c r="F42" s="14">
        <f t="shared" si="57"/>
        <v>128.48780444444412</v>
      </c>
      <c r="G42" s="14">
        <f t="shared" si="58"/>
        <v>80.92000000000002</v>
      </c>
      <c r="H42" s="14">
        <f t="shared" si="59"/>
        <v>0</v>
      </c>
      <c r="I42" s="14">
        <f t="shared" si="60"/>
        <v>62.82234167947992</v>
      </c>
      <c r="J42" s="14">
        <f t="shared" si="53"/>
        <v>272.23014612392404</v>
      </c>
      <c r="K42" s="16"/>
      <c r="N42" s="234">
        <f>400</f>
        <v>400</v>
      </c>
      <c r="O42" s="15">
        <f t="shared" si="24"/>
        <v>0.2222222222222222</v>
      </c>
      <c r="P42" s="14">
        <v>0</v>
      </c>
      <c r="Q42" s="234">
        <f>29.0368888888889</f>
        <v>29.0368888888889</v>
      </c>
      <c r="R42" s="14">
        <v>0</v>
      </c>
      <c r="S42" s="14">
        <v>0</v>
      </c>
      <c r="T42" s="234">
        <v>8.711067012813356</v>
      </c>
      <c r="U42" s="14">
        <f t="shared" si="54"/>
        <v>37.747955901702255</v>
      </c>
      <c r="V42" s="16">
        <f t="shared" si="26"/>
        <v>0.13866192425477636</v>
      </c>
      <c r="Y42" s="233">
        <f>2000*0.4</f>
        <v>800</v>
      </c>
      <c r="Z42" s="15">
        <f t="shared" si="27"/>
        <v>0.4444444444444444</v>
      </c>
      <c r="AA42" s="14">
        <v>0</v>
      </c>
      <c r="AB42" s="233">
        <f>145.184444444444*0.4</f>
        <v>58.07377777777761</v>
      </c>
      <c r="AC42" s="14">
        <v>0</v>
      </c>
      <c r="AD42" s="14">
        <v>0</v>
      </c>
      <c r="AE42" s="233">
        <f>SUM(AB42:AD42)*0.3</f>
        <v>17.42213333333328</v>
      </c>
      <c r="AF42" s="14">
        <f t="shared" si="55"/>
        <v>75.49591111111089</v>
      </c>
      <c r="AG42" s="16">
        <f t="shared" si="29"/>
        <v>0.2773238459665073</v>
      </c>
      <c r="AJ42" s="233">
        <f>2240*0.4</f>
        <v>896</v>
      </c>
      <c r="AK42" s="15">
        <f t="shared" si="30"/>
        <v>0.49777777777777776</v>
      </c>
      <c r="AL42" s="14">
        <v>0</v>
      </c>
      <c r="AM42" s="233">
        <f>103.442844444444*0.4</f>
        <v>41.377137777777605</v>
      </c>
      <c r="AN42" s="233">
        <f>271.92-4-152-5-27-3</f>
        <v>80.92000000000002</v>
      </c>
      <c r="AO42" s="14">
        <v>0</v>
      </c>
      <c r="AP42" s="233">
        <f>SUM(AM42:AO42)*0.3</f>
        <v>36.68914133333328</v>
      </c>
      <c r="AQ42" s="14">
        <f t="shared" si="56"/>
        <v>158.9862791111109</v>
      </c>
      <c r="AR42" s="16">
        <f t="shared" si="32"/>
        <v>0.5840142297787163</v>
      </c>
      <c r="AU42" s="14">
        <v>0</v>
      </c>
      <c r="AV42" s="15">
        <f t="shared" si="33"/>
        <v>0</v>
      </c>
      <c r="AW42" s="14">
        <v>0</v>
      </c>
      <c r="AX42" s="14">
        <v>0</v>
      </c>
      <c r="AY42" s="14">
        <v>0</v>
      </c>
      <c r="AZ42" s="14">
        <v>0</v>
      </c>
      <c r="BA42" s="14">
        <v>0</v>
      </c>
      <c r="BB42" s="14">
        <f t="shared" si="34"/>
        <v>0</v>
      </c>
      <c r="BC42" s="16">
        <f t="shared" si="35"/>
        <v>0</v>
      </c>
    </row>
    <row r="43" spans="1:56" ht="12.75">
      <c r="A43" s="23" t="s">
        <v>905</v>
      </c>
      <c r="B43" s="13" t="s">
        <v>906</v>
      </c>
      <c r="C43" s="14">
        <f t="shared" si="50"/>
        <v>6456.5</v>
      </c>
      <c r="D43" s="15">
        <f t="shared" si="51"/>
        <v>3.5869444444444447</v>
      </c>
      <c r="E43" s="14">
        <f t="shared" si="52"/>
        <v>3</v>
      </c>
      <c r="F43" s="14">
        <f t="shared" si="57"/>
        <v>429.25240055555605</v>
      </c>
      <c r="G43" s="14">
        <f t="shared" si="58"/>
        <v>1291.0268852459017</v>
      </c>
      <c r="H43" s="14">
        <f t="shared" si="59"/>
        <v>4.04690087890625</v>
      </c>
      <c r="I43" s="14">
        <f t="shared" si="60"/>
        <v>735.7132282602586</v>
      </c>
      <c r="J43" s="14">
        <f t="shared" si="53"/>
        <v>2460.0394149406225</v>
      </c>
      <c r="K43" s="16"/>
      <c r="L43" s="17"/>
      <c r="N43" s="233">
        <f>1520*0.85</f>
        <v>1292</v>
      </c>
      <c r="O43" s="15">
        <f t="shared" si="24"/>
        <v>0.7177777777777777</v>
      </c>
      <c r="P43" s="14">
        <v>0</v>
      </c>
      <c r="Q43" s="233">
        <f>111.361422222222*0.85</f>
        <v>94.6572088888887</v>
      </c>
      <c r="R43" s="14">
        <v>0</v>
      </c>
      <c r="S43" s="14">
        <v>0</v>
      </c>
      <c r="T43" s="233">
        <f>SUM(Q43:S43)*0.35</f>
        <v>33.13002311111104</v>
      </c>
      <c r="U43" s="14">
        <f t="shared" si="54"/>
        <v>127.78723199999975</v>
      </c>
      <c r="V43" s="16">
        <f t="shared" si="26"/>
        <v>0.051945196985018274</v>
      </c>
      <c r="W43" s="17"/>
      <c r="Y43" s="233">
        <f>2480*0.9</f>
        <v>2232</v>
      </c>
      <c r="Z43" s="15">
        <f t="shared" si="27"/>
        <v>1.24</v>
      </c>
      <c r="AA43" s="14">
        <v>3</v>
      </c>
      <c r="AB43" s="233">
        <f>174.159555555556*0.9</f>
        <v>156.7436000000004</v>
      </c>
      <c r="AC43" s="14">
        <v>0</v>
      </c>
      <c r="AD43" s="14">
        <v>4.04690087890625</v>
      </c>
      <c r="AE43" s="233">
        <f>SUM(AB43:AD43)*0.35</f>
        <v>56.27667530761733</v>
      </c>
      <c r="AF43" s="14">
        <f t="shared" si="55"/>
        <v>217.067176186524</v>
      </c>
      <c r="AG43" s="16">
        <f t="shared" si="29"/>
        <v>0.08823727573965041</v>
      </c>
      <c r="AH43" s="17"/>
      <c r="AJ43" s="233">
        <f>3450*0.85</f>
        <v>2932.5</v>
      </c>
      <c r="AK43" s="15">
        <f t="shared" si="30"/>
        <v>1.6291666666666667</v>
      </c>
      <c r="AL43" s="14">
        <v>0</v>
      </c>
      <c r="AM43" s="233">
        <f>209.237166666667*0.85</f>
        <v>177.85159166666696</v>
      </c>
      <c r="AN43" s="233">
        <f>1618.24+7*5-(2/9)*(855+126+45)-(21/61)*172-50-25</f>
        <v>1291.0268852459017</v>
      </c>
      <c r="AO43" s="14">
        <v>0</v>
      </c>
      <c r="AP43" s="233">
        <f>SUM(AM43:AO43)*0.44</f>
        <v>646.3065298415302</v>
      </c>
      <c r="AQ43" s="14">
        <f t="shared" si="56"/>
        <v>2115.185006754099</v>
      </c>
      <c r="AR43" s="16">
        <f t="shared" si="32"/>
        <v>0.8598175272753315</v>
      </c>
      <c r="AS43" s="17"/>
      <c r="AU43" s="14">
        <v>0</v>
      </c>
      <c r="AV43" s="15">
        <f t="shared" si="33"/>
        <v>0</v>
      </c>
      <c r="AW43" s="14">
        <v>0</v>
      </c>
      <c r="AX43" s="14">
        <v>0</v>
      </c>
      <c r="AY43" s="14">
        <v>0</v>
      </c>
      <c r="AZ43" s="14">
        <v>0</v>
      </c>
      <c r="BA43" s="14">
        <v>0</v>
      </c>
      <c r="BB43" s="14">
        <f t="shared" si="34"/>
        <v>0</v>
      </c>
      <c r="BC43" s="16">
        <f t="shared" si="35"/>
        <v>0</v>
      </c>
      <c r="BD43" s="17"/>
    </row>
    <row r="44" spans="1:56" ht="12.75">
      <c r="A44" s="23" t="s">
        <v>907</v>
      </c>
      <c r="B44" s="13" t="s">
        <v>908</v>
      </c>
      <c r="C44" s="14">
        <f t="shared" si="50"/>
        <v>2431.6</v>
      </c>
      <c r="D44" s="15">
        <f t="shared" si="51"/>
        <v>1.3508888888888888</v>
      </c>
      <c r="E44" s="14">
        <f t="shared" si="52"/>
        <v>0</v>
      </c>
      <c r="F44" s="14">
        <f t="shared" si="57"/>
        <v>139.2129431111111</v>
      </c>
      <c r="G44" s="14">
        <f t="shared" si="58"/>
        <v>157.205</v>
      </c>
      <c r="H44" s="14">
        <f t="shared" si="59"/>
        <v>0</v>
      </c>
      <c r="I44" s="14">
        <f t="shared" si="60"/>
        <v>65.59130148</v>
      </c>
      <c r="J44" s="14">
        <f t="shared" si="53"/>
        <v>362.00924459111104</v>
      </c>
      <c r="K44" s="16"/>
      <c r="L44" s="17"/>
      <c r="N44" s="233">
        <f>628*0.8</f>
        <v>502.40000000000003</v>
      </c>
      <c r="O44" s="15">
        <f t="shared" si="24"/>
        <v>0.27911111111111114</v>
      </c>
      <c r="P44" s="14">
        <v>0</v>
      </c>
      <c r="Q44" s="233">
        <f>35.4016733333333*0.8</f>
        <v>28.32133866666664</v>
      </c>
      <c r="R44" s="14">
        <v>0</v>
      </c>
      <c r="S44" s="14">
        <v>0</v>
      </c>
      <c r="T44" s="233">
        <f>SUM(Q44:S44)*0.2</f>
        <v>5.664267733333329</v>
      </c>
      <c r="U44" s="14">
        <f t="shared" si="54"/>
        <v>33.985606399999966</v>
      </c>
      <c r="V44" s="16">
        <f t="shared" si="26"/>
        <v>0.09388049313046318</v>
      </c>
      <c r="W44" s="17"/>
      <c r="Y44" s="233">
        <f>1812*0.7</f>
        <v>1268.3999999999999</v>
      </c>
      <c r="Z44" s="15">
        <f t="shared" si="27"/>
        <v>0.7046666666666666</v>
      </c>
      <c r="AA44" s="14">
        <v>0</v>
      </c>
      <c r="AB44" s="233">
        <f>105.14646*0.7</f>
        <v>73.602522</v>
      </c>
      <c r="AC44" s="14">
        <v>0</v>
      </c>
      <c r="AD44" s="14">
        <v>0</v>
      </c>
      <c r="AE44" s="233">
        <f>SUM(AB44:AD44)*0.18</f>
        <v>13.248453959999999</v>
      </c>
      <c r="AF44" s="14">
        <f t="shared" si="55"/>
        <v>86.85097596</v>
      </c>
      <c r="AG44" s="16">
        <f t="shared" si="29"/>
        <v>0.2399136962872262</v>
      </c>
      <c r="AH44" s="17"/>
      <c r="AJ44" s="233">
        <f>944*0.7</f>
        <v>660.8</v>
      </c>
      <c r="AK44" s="15">
        <f t="shared" si="30"/>
        <v>0.3671111111111111</v>
      </c>
      <c r="AL44" s="14">
        <v>0</v>
      </c>
      <c r="AM44" s="233">
        <f>53.2701177777778*0.7</f>
        <v>37.28908244444445</v>
      </c>
      <c r="AN44" s="233">
        <f>237.205-45-25-5-5</f>
        <v>157.205</v>
      </c>
      <c r="AO44" s="14">
        <v>0</v>
      </c>
      <c r="AP44" s="233">
        <f>SUM(AM44:AO44)*0.24</f>
        <v>46.678579786666674</v>
      </c>
      <c r="AQ44" s="14">
        <f t="shared" si="56"/>
        <v>241.17266223111113</v>
      </c>
      <c r="AR44" s="16">
        <f t="shared" si="32"/>
        <v>0.6662058105823108</v>
      </c>
      <c r="AS44" s="17"/>
      <c r="AU44" s="14">
        <v>0</v>
      </c>
      <c r="AV44" s="15">
        <f t="shared" si="33"/>
        <v>0</v>
      </c>
      <c r="AW44" s="14">
        <v>0</v>
      </c>
      <c r="AX44" s="14">
        <v>0</v>
      </c>
      <c r="AY44" s="14">
        <v>0</v>
      </c>
      <c r="AZ44" s="14">
        <v>0</v>
      </c>
      <c r="BA44" s="14">
        <v>0</v>
      </c>
      <c r="BB44" s="14">
        <f t="shared" si="34"/>
        <v>0</v>
      </c>
      <c r="BC44" s="16">
        <f t="shared" si="35"/>
        <v>0</v>
      </c>
      <c r="BD44" s="17"/>
    </row>
    <row r="45" spans="1:56" ht="12.75">
      <c r="A45" s="23" t="s">
        <v>909</v>
      </c>
      <c r="B45" s="13" t="s">
        <v>910</v>
      </c>
      <c r="C45" s="14">
        <f t="shared" si="50"/>
        <v>9520</v>
      </c>
      <c r="D45" s="15">
        <f t="shared" si="51"/>
        <v>5.28888888888889</v>
      </c>
      <c r="E45" s="14">
        <f t="shared" si="52"/>
        <v>5</v>
      </c>
      <c r="F45" s="14">
        <f t="shared" si="57"/>
        <v>592.0716877777778</v>
      </c>
      <c r="G45" s="14">
        <f t="shared" si="58"/>
        <v>952.085</v>
      </c>
      <c r="H45" s="14">
        <f t="shared" si="59"/>
        <v>4.594834716796875</v>
      </c>
      <c r="I45" s="14">
        <f t="shared" si="60"/>
        <v>662.3274301905717</v>
      </c>
      <c r="J45" s="14">
        <f t="shared" si="53"/>
        <v>2211.0789526851463</v>
      </c>
      <c r="K45" s="16"/>
      <c r="L45" s="17"/>
      <c r="N45" s="14">
        <v>1596</v>
      </c>
      <c r="O45" s="15">
        <f t="shared" si="24"/>
        <v>0.8866666666666667</v>
      </c>
      <c r="P45" s="14">
        <v>2</v>
      </c>
      <c r="Q45" s="14">
        <v>108.2724</v>
      </c>
      <c r="R45" s="14">
        <v>0</v>
      </c>
      <c r="S45" s="14">
        <v>1.837933837890625</v>
      </c>
      <c r="T45" s="14">
        <v>42.94302862163639</v>
      </c>
      <c r="U45" s="14">
        <f t="shared" si="54"/>
        <v>153.05336245952702</v>
      </c>
      <c r="V45" s="16">
        <f t="shared" si="26"/>
        <v>0.06922112042795134</v>
      </c>
      <c r="W45" s="17"/>
      <c r="Y45" s="14">
        <v>4220</v>
      </c>
      <c r="Z45" s="15">
        <f t="shared" si="27"/>
        <v>2.3444444444444446</v>
      </c>
      <c r="AA45" s="14">
        <v>3</v>
      </c>
      <c r="AB45" s="14">
        <v>269.59745000000004</v>
      </c>
      <c r="AC45" s="14">
        <v>0</v>
      </c>
      <c r="AD45" s="14">
        <v>2.75690087890625</v>
      </c>
      <c r="AE45" s="14">
        <v>106.2181929467132</v>
      </c>
      <c r="AF45" s="14">
        <f t="shared" si="55"/>
        <v>378.5725438256195</v>
      </c>
      <c r="AG45" s="16">
        <f t="shared" si="29"/>
        <v>0.1712162034584423</v>
      </c>
      <c r="AH45" s="17"/>
      <c r="AJ45" s="14">
        <v>3704</v>
      </c>
      <c r="AK45" s="15">
        <f t="shared" si="30"/>
        <v>2.057777777777778</v>
      </c>
      <c r="AL45" s="14">
        <v>0</v>
      </c>
      <c r="AM45" s="14">
        <v>214.20183777777777</v>
      </c>
      <c r="AN45" s="233">
        <f>1007.085-55</f>
        <v>952.085</v>
      </c>
      <c r="AO45" s="14">
        <v>0</v>
      </c>
      <c r="AP45" s="233">
        <f>SUM(AM45:AO45)*0.44</f>
        <v>513.1662086222221</v>
      </c>
      <c r="AQ45" s="14">
        <f t="shared" si="56"/>
        <v>1679.4530464</v>
      </c>
      <c r="AR45" s="16">
        <f t="shared" si="32"/>
        <v>0.7595626761136065</v>
      </c>
      <c r="AS45" s="17"/>
      <c r="AU45" s="14">
        <v>0</v>
      </c>
      <c r="AV45" s="15">
        <f t="shared" si="33"/>
        <v>0</v>
      </c>
      <c r="AW45" s="14">
        <v>0</v>
      </c>
      <c r="AX45" s="14">
        <v>0</v>
      </c>
      <c r="AY45" s="14">
        <v>0</v>
      </c>
      <c r="AZ45" s="14">
        <v>0</v>
      </c>
      <c r="BA45" s="14">
        <v>0</v>
      </c>
      <c r="BB45" s="14">
        <f t="shared" si="34"/>
        <v>0</v>
      </c>
      <c r="BC45" s="16">
        <f t="shared" si="35"/>
        <v>0</v>
      </c>
      <c r="BD45" s="17"/>
    </row>
    <row r="46" spans="1:55" ht="12.75">
      <c r="A46" s="23" t="s">
        <v>911</v>
      </c>
      <c r="B46" s="19" t="s">
        <v>912</v>
      </c>
      <c r="C46" s="14">
        <f t="shared" si="50"/>
        <v>3180</v>
      </c>
      <c r="D46" s="15">
        <f t="shared" si="51"/>
        <v>1.7666666666666666</v>
      </c>
      <c r="E46" s="14">
        <f t="shared" si="52"/>
        <v>0</v>
      </c>
      <c r="F46" s="14">
        <f t="shared" si="57"/>
        <v>209.88944444444442</v>
      </c>
      <c r="G46" s="14">
        <f t="shared" si="58"/>
        <v>51.5</v>
      </c>
      <c r="H46" s="14">
        <f t="shared" si="59"/>
        <v>0</v>
      </c>
      <c r="I46" s="14">
        <f t="shared" si="60"/>
        <v>57.788818187363276</v>
      </c>
      <c r="J46" s="14">
        <f t="shared" si="53"/>
        <v>319.1782626318077</v>
      </c>
      <c r="K46" s="16"/>
      <c r="N46" s="14">
        <v>80</v>
      </c>
      <c r="O46" s="15">
        <f t="shared" si="24"/>
        <v>0.044444444444444446</v>
      </c>
      <c r="P46" s="14">
        <v>0</v>
      </c>
      <c r="Q46" s="14">
        <v>5.807377777777778</v>
      </c>
      <c r="R46" s="14">
        <v>0</v>
      </c>
      <c r="S46" s="14">
        <v>0</v>
      </c>
      <c r="T46" s="14">
        <v>0.580737786431445</v>
      </c>
      <c r="U46" s="14">
        <f t="shared" si="54"/>
        <v>6.388115564209223</v>
      </c>
      <c r="V46" s="16">
        <f t="shared" si="26"/>
        <v>0.02001425633292051</v>
      </c>
      <c r="Y46" s="14">
        <v>1100</v>
      </c>
      <c r="Z46" s="15">
        <f t="shared" si="27"/>
        <v>0.6111111111111112</v>
      </c>
      <c r="AA46" s="14">
        <v>0</v>
      </c>
      <c r="AB46" s="14">
        <v>74.30484444444444</v>
      </c>
      <c r="AC46" s="14">
        <v>0</v>
      </c>
      <c r="AD46" s="14">
        <v>0</v>
      </c>
      <c r="AE46" s="14">
        <v>11.888774845376279</v>
      </c>
      <c r="AF46" s="14">
        <f t="shared" si="55"/>
        <v>86.19361928982072</v>
      </c>
      <c r="AG46" s="16">
        <f t="shared" si="29"/>
        <v>0.27004852579591393</v>
      </c>
      <c r="AJ46" s="14">
        <v>2000</v>
      </c>
      <c r="AK46" s="15">
        <f t="shared" si="30"/>
        <v>1.1111111111111112</v>
      </c>
      <c r="AL46" s="14">
        <v>0</v>
      </c>
      <c r="AM46" s="14">
        <v>129.7772222222222</v>
      </c>
      <c r="AN46" s="14">
        <v>51.5</v>
      </c>
      <c r="AO46" s="14">
        <v>0</v>
      </c>
      <c r="AP46" s="14">
        <v>45.31930555555555</v>
      </c>
      <c r="AQ46" s="14">
        <f t="shared" si="56"/>
        <v>226.59652777777777</v>
      </c>
      <c r="AR46" s="16">
        <f t="shared" si="32"/>
        <v>0.7099372178711656</v>
      </c>
      <c r="AU46" s="14">
        <v>0</v>
      </c>
      <c r="AV46" s="15">
        <f t="shared" si="33"/>
        <v>0</v>
      </c>
      <c r="AW46" s="14">
        <v>0</v>
      </c>
      <c r="AX46" s="14">
        <v>0</v>
      </c>
      <c r="AY46" s="14">
        <v>0</v>
      </c>
      <c r="AZ46" s="14">
        <v>0</v>
      </c>
      <c r="BA46" s="14">
        <v>0</v>
      </c>
      <c r="BB46" s="14">
        <f t="shared" si="34"/>
        <v>0</v>
      </c>
      <c r="BC46" s="16">
        <f t="shared" si="35"/>
        <v>0</v>
      </c>
    </row>
    <row r="47" spans="1:55" ht="12.75">
      <c r="A47" s="23" t="s">
        <v>913</v>
      </c>
      <c r="B47" s="13" t="s">
        <v>914</v>
      </c>
      <c r="C47" s="14">
        <f t="shared" si="50"/>
        <v>577.5</v>
      </c>
      <c r="D47" s="15">
        <f t="shared" si="51"/>
        <v>0.3208333333333333</v>
      </c>
      <c r="E47" s="14">
        <f t="shared" si="52"/>
        <v>0</v>
      </c>
      <c r="F47" s="14">
        <f t="shared" si="57"/>
        <v>37.61417083333333</v>
      </c>
      <c r="G47" s="14">
        <f t="shared" si="58"/>
        <v>69.3311</v>
      </c>
      <c r="H47" s="14">
        <f t="shared" si="59"/>
        <v>0</v>
      </c>
      <c r="I47" s="14">
        <f t="shared" si="60"/>
        <v>17.11124295086724</v>
      </c>
      <c r="J47" s="14">
        <f t="shared" si="53"/>
        <v>124.05651378420058</v>
      </c>
      <c r="K47" s="16"/>
      <c r="N47" s="14">
        <v>127.5</v>
      </c>
      <c r="O47" s="15">
        <f t="shared" si="24"/>
        <v>0.07083333333333333</v>
      </c>
      <c r="P47" s="14">
        <v>0</v>
      </c>
      <c r="Q47" s="14">
        <v>8.884649999999999</v>
      </c>
      <c r="R47" s="14">
        <v>0</v>
      </c>
      <c r="S47" s="14">
        <v>0</v>
      </c>
      <c r="T47" s="14">
        <v>1.4215439682260156</v>
      </c>
      <c r="U47" s="14">
        <f t="shared" si="54"/>
        <v>10.306193968226015</v>
      </c>
      <c r="V47" s="16">
        <f t="shared" si="26"/>
        <v>0.08307660479766422</v>
      </c>
      <c r="Y47" s="14">
        <v>187.5</v>
      </c>
      <c r="Z47" s="15">
        <f t="shared" si="27"/>
        <v>0.10416666666666667</v>
      </c>
      <c r="AA47" s="14">
        <v>0</v>
      </c>
      <c r="AB47" s="14">
        <v>12.683895833333333</v>
      </c>
      <c r="AC47" s="14">
        <v>0</v>
      </c>
      <c r="AD47" s="14">
        <v>0</v>
      </c>
      <c r="AE47" s="14">
        <v>2.0294232879721865</v>
      </c>
      <c r="AF47" s="14">
        <f t="shared" si="55"/>
        <v>14.713319121305519</v>
      </c>
      <c r="AG47" s="16">
        <f t="shared" si="29"/>
        <v>0.11860174586962606</v>
      </c>
      <c r="AJ47" s="14">
        <v>262.5</v>
      </c>
      <c r="AK47" s="15">
        <f t="shared" si="30"/>
        <v>0.14583333333333334</v>
      </c>
      <c r="AL47" s="14">
        <v>0</v>
      </c>
      <c r="AM47" s="14">
        <v>16.045625</v>
      </c>
      <c r="AN47" s="14">
        <v>69.3311</v>
      </c>
      <c r="AO47" s="14">
        <v>0</v>
      </c>
      <c r="AP47" s="14">
        <v>13.66027569466904</v>
      </c>
      <c r="AQ47" s="14">
        <f t="shared" si="56"/>
        <v>99.03700069466905</v>
      </c>
      <c r="AR47" s="16">
        <f t="shared" si="32"/>
        <v>0.7983216493327098</v>
      </c>
      <c r="AU47" s="14">
        <v>0</v>
      </c>
      <c r="AV47" s="15">
        <f t="shared" si="33"/>
        <v>0</v>
      </c>
      <c r="AW47" s="14">
        <v>0</v>
      </c>
      <c r="AX47" s="14">
        <v>0</v>
      </c>
      <c r="AY47" s="14">
        <v>0</v>
      </c>
      <c r="AZ47" s="14">
        <v>0</v>
      </c>
      <c r="BA47" s="14">
        <v>0</v>
      </c>
      <c r="BB47" s="14">
        <f t="shared" si="34"/>
        <v>0</v>
      </c>
      <c r="BC47" s="16">
        <f t="shared" si="35"/>
        <v>0</v>
      </c>
    </row>
    <row r="48" spans="1:55" ht="12.75">
      <c r="A48" s="23" t="s">
        <v>915</v>
      </c>
      <c r="B48" s="19" t="s">
        <v>916</v>
      </c>
      <c r="C48" s="14">
        <f t="shared" si="50"/>
        <v>1376</v>
      </c>
      <c r="D48" s="15">
        <f t="shared" si="51"/>
        <v>0.7644444444444445</v>
      </c>
      <c r="E48" s="14">
        <f t="shared" si="52"/>
        <v>0</v>
      </c>
      <c r="F48" s="14">
        <f t="shared" si="57"/>
        <v>86.08202666666665</v>
      </c>
      <c r="G48" s="14">
        <f t="shared" si="58"/>
        <v>41.2</v>
      </c>
      <c r="H48" s="14">
        <f t="shared" si="59"/>
        <v>0</v>
      </c>
      <c r="I48" s="14">
        <f t="shared" si="60"/>
        <v>33.09332693333333</v>
      </c>
      <c r="J48" s="14">
        <f t="shared" si="53"/>
        <v>160.37535359999998</v>
      </c>
      <c r="K48" s="16"/>
      <c r="N48" s="233">
        <f>240*0.9</f>
        <v>216</v>
      </c>
      <c r="O48" s="15">
        <f t="shared" si="24"/>
        <v>0.12</v>
      </c>
      <c r="P48" s="14">
        <v>0</v>
      </c>
      <c r="Q48" s="233">
        <f>17.4221333333333*0.9</f>
        <v>15.679919999999969</v>
      </c>
      <c r="R48" s="14">
        <v>0</v>
      </c>
      <c r="S48" s="14">
        <v>0</v>
      </c>
      <c r="T48" s="233">
        <f>SUM(Q48:S48)*0.26</f>
        <v>4.076779199999992</v>
      </c>
      <c r="U48" s="14">
        <f t="shared" si="54"/>
        <v>19.75669919999996</v>
      </c>
      <c r="V48" s="16">
        <f t="shared" si="26"/>
        <v>0.12319037031884657</v>
      </c>
      <c r="Y48" s="233">
        <f>720*0.9</f>
        <v>648</v>
      </c>
      <c r="Z48" s="15">
        <f t="shared" si="27"/>
        <v>0.36</v>
      </c>
      <c r="AA48" s="14">
        <v>0</v>
      </c>
      <c r="AB48" s="233">
        <f>52.2664*0.9</f>
        <v>47.03976</v>
      </c>
      <c r="AC48" s="14">
        <v>0</v>
      </c>
      <c r="AD48" s="14">
        <v>0</v>
      </c>
      <c r="AE48" s="233">
        <f>SUM(AB48:AD48)*0.26</f>
        <v>12.2303376</v>
      </c>
      <c r="AF48" s="14">
        <f t="shared" si="55"/>
        <v>59.2700976</v>
      </c>
      <c r="AG48" s="16">
        <f t="shared" si="29"/>
        <v>0.36957111095654044</v>
      </c>
      <c r="AJ48" s="233">
        <f>1280*0.4</f>
        <v>512</v>
      </c>
      <c r="AK48" s="15">
        <f t="shared" si="30"/>
        <v>0.28444444444444444</v>
      </c>
      <c r="AL48" s="14">
        <v>0</v>
      </c>
      <c r="AM48" s="233">
        <f>58.4058666666667*0.4</f>
        <v>23.36234666666668</v>
      </c>
      <c r="AN48" s="14">
        <v>41.2</v>
      </c>
      <c r="AO48" s="14">
        <v>0</v>
      </c>
      <c r="AP48" s="233">
        <f>SUM(AM48:AO48)*0.26</f>
        <v>16.786210133333338</v>
      </c>
      <c r="AQ48" s="14">
        <f t="shared" si="56"/>
        <v>81.34855680000003</v>
      </c>
      <c r="AR48" s="16">
        <f t="shared" si="32"/>
        <v>0.507238518724613</v>
      </c>
      <c r="AU48" s="14">
        <v>0</v>
      </c>
      <c r="AV48" s="15">
        <f t="shared" si="33"/>
        <v>0</v>
      </c>
      <c r="AW48" s="14">
        <v>0</v>
      </c>
      <c r="AX48" s="14">
        <v>0</v>
      </c>
      <c r="AY48" s="14">
        <v>0</v>
      </c>
      <c r="AZ48" s="14">
        <v>0</v>
      </c>
      <c r="BA48" s="14">
        <v>0</v>
      </c>
      <c r="BB48" s="14">
        <f t="shared" si="34"/>
        <v>0</v>
      </c>
      <c r="BC48" s="16">
        <f t="shared" si="35"/>
        <v>0</v>
      </c>
    </row>
    <row r="49" spans="1:55" ht="12.75">
      <c r="A49" s="23">
        <v>4.3</v>
      </c>
      <c r="B49" s="19" t="s">
        <v>917</v>
      </c>
      <c r="K49" s="22"/>
      <c r="V49" s="22"/>
      <c r="AG49" s="22"/>
      <c r="AR49" s="22"/>
      <c r="BC49" s="22"/>
    </row>
    <row r="50" spans="1:55" ht="12.75">
      <c r="A50" s="23" t="s">
        <v>918</v>
      </c>
      <c r="B50" s="19" t="s">
        <v>919</v>
      </c>
      <c r="C50" s="14">
        <f aca="true" t="shared" si="61" ref="C50:E52">SUM(N50,Y50,AJ50,AU50)</f>
        <v>1865</v>
      </c>
      <c r="D50" s="15">
        <f t="shared" si="61"/>
        <v>1.036111111111111</v>
      </c>
      <c r="E50" s="14">
        <f t="shared" si="61"/>
        <v>2</v>
      </c>
      <c r="F50" s="14">
        <f aca="true" t="shared" si="62" ref="F50:I52">SUM(Q50,AB50,AM50,AX50)</f>
        <v>137.73645</v>
      </c>
      <c r="G50" s="14">
        <f t="shared" si="62"/>
        <v>134.9</v>
      </c>
      <c r="H50" s="14">
        <f t="shared" si="62"/>
        <v>9.693470703125</v>
      </c>
      <c r="I50" s="14">
        <f t="shared" si="62"/>
        <v>42.349489788286206</v>
      </c>
      <c r="J50" s="14">
        <f>SUM(F50:I50)</f>
        <v>324.6794104914112</v>
      </c>
      <c r="K50" s="22"/>
      <c r="N50" s="14">
        <v>250</v>
      </c>
      <c r="O50" s="15">
        <f t="shared" si="24"/>
        <v>0.1388888888888889</v>
      </c>
      <c r="P50" s="14">
        <v>0</v>
      </c>
      <c r="Q50" s="14">
        <v>19.17737222222222</v>
      </c>
      <c r="R50" s="14">
        <v>0</v>
      </c>
      <c r="S50" s="14">
        <v>0</v>
      </c>
      <c r="T50" s="14">
        <v>2.876605947639379</v>
      </c>
      <c r="U50" s="14">
        <f>SUM(Q50:T50)</f>
        <v>22.0539781698616</v>
      </c>
      <c r="V50" s="16">
        <f t="shared" si="26"/>
        <v>0.06792539796866792</v>
      </c>
      <c r="Y50" s="14">
        <v>870</v>
      </c>
      <c r="Z50" s="15">
        <f t="shared" si="27"/>
        <v>0.48333333333333334</v>
      </c>
      <c r="AA50" s="14">
        <v>0</v>
      </c>
      <c r="AB50" s="14">
        <v>64.75975</v>
      </c>
      <c r="AC50" s="14">
        <v>0</v>
      </c>
      <c r="AD50" s="14">
        <v>0</v>
      </c>
      <c r="AE50" s="14">
        <v>9.713962885998189</v>
      </c>
      <c r="AF50" s="14">
        <f>SUM(AB50:AE50)</f>
        <v>74.47371288599818</v>
      </c>
      <c r="AG50" s="16">
        <f t="shared" si="29"/>
        <v>0.22937614914749344</v>
      </c>
      <c r="AJ50" s="14">
        <v>745</v>
      </c>
      <c r="AK50" s="15">
        <f t="shared" si="30"/>
        <v>0.41388888888888886</v>
      </c>
      <c r="AL50" s="14">
        <v>2</v>
      </c>
      <c r="AM50" s="14">
        <v>53.799327777777776</v>
      </c>
      <c r="AN50" s="14">
        <v>134.9</v>
      </c>
      <c r="AO50" s="14">
        <v>9.693470703125</v>
      </c>
      <c r="AP50" s="14">
        <v>29.75892095464864</v>
      </c>
      <c r="AQ50" s="14">
        <f>SUM(AM50:AP50)</f>
        <v>228.15171943555143</v>
      </c>
      <c r="AR50" s="16">
        <f t="shared" si="32"/>
        <v>0.7026984528838387</v>
      </c>
      <c r="AU50" s="14">
        <v>0</v>
      </c>
      <c r="AV50" s="15">
        <f t="shared" si="33"/>
        <v>0</v>
      </c>
      <c r="AW50" s="14">
        <v>0</v>
      </c>
      <c r="AX50" s="14">
        <v>0</v>
      </c>
      <c r="AY50" s="14">
        <v>0</v>
      </c>
      <c r="AZ50" s="14">
        <v>0</v>
      </c>
      <c r="BA50" s="14">
        <v>0</v>
      </c>
      <c r="BB50" s="14">
        <f t="shared" si="34"/>
        <v>0</v>
      </c>
      <c r="BC50" s="16">
        <f t="shared" si="35"/>
        <v>0</v>
      </c>
    </row>
    <row r="51" spans="1:55" ht="12.75">
      <c r="A51" s="23" t="s">
        <v>920</v>
      </c>
      <c r="B51" s="19" t="s">
        <v>921</v>
      </c>
      <c r="C51" s="14">
        <f t="shared" si="61"/>
        <v>1695</v>
      </c>
      <c r="D51" s="15">
        <f t="shared" si="61"/>
        <v>0.9416666666666667</v>
      </c>
      <c r="E51" s="14">
        <f t="shared" si="61"/>
        <v>2</v>
      </c>
      <c r="F51" s="14">
        <f t="shared" si="62"/>
        <v>125.04949444444443</v>
      </c>
      <c r="G51" s="14">
        <f t="shared" si="62"/>
        <v>1</v>
      </c>
      <c r="H51" s="14">
        <f t="shared" si="62"/>
        <v>9.693470703125</v>
      </c>
      <c r="I51" s="14">
        <f t="shared" si="62"/>
        <v>20.36144558122654</v>
      </c>
      <c r="J51" s="14">
        <f>SUM(F51:I51)</f>
        <v>156.10441072879598</v>
      </c>
      <c r="K51" s="22"/>
      <c r="N51" s="14">
        <v>255</v>
      </c>
      <c r="O51" s="15">
        <f t="shared" si="24"/>
        <v>0.14166666666666666</v>
      </c>
      <c r="P51" s="14">
        <v>0</v>
      </c>
      <c r="Q51" s="14">
        <v>19.66798888888889</v>
      </c>
      <c r="R51" s="14">
        <v>0</v>
      </c>
      <c r="S51" s="14">
        <v>0</v>
      </c>
      <c r="T51" s="14">
        <v>2.9501984505636822</v>
      </c>
      <c r="U51" s="14">
        <f>SUM(Q51:T51)</f>
        <v>22.61818733945257</v>
      </c>
      <c r="V51" s="16">
        <f t="shared" si="26"/>
        <v>0.14489140463012093</v>
      </c>
      <c r="Y51" s="14">
        <v>850</v>
      </c>
      <c r="Z51" s="15">
        <f t="shared" si="27"/>
        <v>0.4722222222222222</v>
      </c>
      <c r="AA51" s="14">
        <v>0</v>
      </c>
      <c r="AB51" s="14">
        <v>63.80238333333333</v>
      </c>
      <c r="AC51" s="14">
        <v>0</v>
      </c>
      <c r="AD51" s="14">
        <v>0</v>
      </c>
      <c r="AE51" s="14">
        <v>9.57035788029184</v>
      </c>
      <c r="AF51" s="14">
        <f>SUM(AB51:AE51)</f>
        <v>73.37274121362518</v>
      </c>
      <c r="AG51" s="16">
        <f t="shared" si="29"/>
        <v>0.4700234981899226</v>
      </c>
      <c r="AJ51" s="14">
        <v>590</v>
      </c>
      <c r="AK51" s="15">
        <f t="shared" si="30"/>
        <v>0.3277777777777778</v>
      </c>
      <c r="AL51" s="14">
        <v>2</v>
      </c>
      <c r="AM51" s="14">
        <v>41.57912222222221</v>
      </c>
      <c r="AN51" s="14">
        <v>1</v>
      </c>
      <c r="AO51" s="14">
        <v>9.693470703125</v>
      </c>
      <c r="AP51" s="14">
        <v>7.840889250371015</v>
      </c>
      <c r="AQ51" s="14">
        <f>SUM(AM51:AP51)</f>
        <v>60.113482175718225</v>
      </c>
      <c r="AR51" s="16">
        <f t="shared" si="32"/>
        <v>0.38508509717995637</v>
      </c>
      <c r="AU51" s="14">
        <v>0</v>
      </c>
      <c r="AV51" s="15">
        <f t="shared" si="33"/>
        <v>0</v>
      </c>
      <c r="AW51" s="14">
        <v>0</v>
      </c>
      <c r="AX51" s="14">
        <v>0</v>
      </c>
      <c r="AY51" s="14">
        <v>0</v>
      </c>
      <c r="AZ51" s="14">
        <v>0</v>
      </c>
      <c r="BA51" s="14">
        <v>0</v>
      </c>
      <c r="BB51" s="14">
        <f t="shared" si="34"/>
        <v>0</v>
      </c>
      <c r="BC51" s="16">
        <f t="shared" si="35"/>
        <v>0</v>
      </c>
    </row>
    <row r="52" spans="1:55" ht="12.75">
      <c r="A52" s="23" t="s">
        <v>922</v>
      </c>
      <c r="B52" s="19" t="s">
        <v>923</v>
      </c>
      <c r="C52" s="14">
        <f t="shared" si="61"/>
        <v>0</v>
      </c>
      <c r="D52" s="15">
        <f t="shared" si="61"/>
        <v>0</v>
      </c>
      <c r="E52" s="14">
        <f t="shared" si="61"/>
        <v>0</v>
      </c>
      <c r="F52" s="14">
        <f t="shared" si="62"/>
        <v>0</v>
      </c>
      <c r="G52" s="14">
        <f t="shared" si="62"/>
        <v>0</v>
      </c>
      <c r="H52" s="14">
        <f t="shared" si="62"/>
        <v>0</v>
      </c>
      <c r="I52" s="14">
        <f t="shared" si="62"/>
        <v>0</v>
      </c>
      <c r="J52" s="14">
        <f>SUM(F52:I52)</f>
        <v>0</v>
      </c>
      <c r="K52" s="22"/>
      <c r="N52" s="14">
        <v>0</v>
      </c>
      <c r="O52" s="15">
        <f t="shared" si="24"/>
        <v>0</v>
      </c>
      <c r="P52" s="14">
        <v>0</v>
      </c>
      <c r="Q52" s="14">
        <v>0</v>
      </c>
      <c r="R52" s="14">
        <v>0</v>
      </c>
      <c r="S52" s="14">
        <v>0</v>
      </c>
      <c r="T52" s="14">
        <v>0</v>
      </c>
      <c r="U52" s="14">
        <f>SUM(Q52:T52)</f>
        <v>0</v>
      </c>
      <c r="V52" s="16" t="e">
        <f t="shared" si="26"/>
        <v>#DIV/0!</v>
      </c>
      <c r="Y52" s="14">
        <v>0</v>
      </c>
      <c r="Z52" s="15">
        <f t="shared" si="27"/>
        <v>0</v>
      </c>
      <c r="AA52" s="14">
        <v>0</v>
      </c>
      <c r="AB52" s="14">
        <v>0</v>
      </c>
      <c r="AC52" s="14">
        <v>0</v>
      </c>
      <c r="AD52" s="14">
        <v>0</v>
      </c>
      <c r="AE52" s="14">
        <v>0</v>
      </c>
      <c r="AF52" s="14">
        <f>SUM(AB52:AE52)</f>
        <v>0</v>
      </c>
      <c r="AG52" s="16" t="e">
        <f t="shared" si="29"/>
        <v>#DIV/0!</v>
      </c>
      <c r="AJ52" s="14">
        <v>0</v>
      </c>
      <c r="AK52" s="15">
        <f t="shared" si="30"/>
        <v>0</v>
      </c>
      <c r="AL52" s="14">
        <v>0</v>
      </c>
      <c r="AM52" s="14">
        <v>0</v>
      </c>
      <c r="AN52" s="14">
        <v>0</v>
      </c>
      <c r="AO52" s="14">
        <v>0</v>
      </c>
      <c r="AP52" s="14">
        <v>0</v>
      </c>
      <c r="AQ52" s="14">
        <f>SUM(AM52:AP52)</f>
        <v>0</v>
      </c>
      <c r="AR52" s="16" t="e">
        <f t="shared" si="32"/>
        <v>#DIV/0!</v>
      </c>
      <c r="AU52" s="14">
        <v>0</v>
      </c>
      <c r="AV52" s="15">
        <f t="shared" si="33"/>
        <v>0</v>
      </c>
      <c r="AW52" s="14">
        <v>0</v>
      </c>
      <c r="AX52" s="14">
        <v>0</v>
      </c>
      <c r="AY52" s="14">
        <v>0</v>
      </c>
      <c r="AZ52" s="14">
        <v>0</v>
      </c>
      <c r="BA52" s="14">
        <v>0</v>
      </c>
      <c r="BB52" s="14">
        <f t="shared" si="34"/>
        <v>0</v>
      </c>
      <c r="BC52" s="16" t="e">
        <f t="shared" si="35"/>
        <v>#DIV/0!</v>
      </c>
    </row>
    <row r="53" spans="1:55" ht="12.75">
      <c r="A53" s="23">
        <v>4.4</v>
      </c>
      <c r="B53" s="19" t="s">
        <v>924</v>
      </c>
      <c r="K53" s="22"/>
      <c r="V53" s="22"/>
      <c r="AG53" s="22"/>
      <c r="AR53" s="22"/>
      <c r="BC53" s="22"/>
    </row>
    <row r="54" spans="1:55" ht="12.75">
      <c r="A54" s="23" t="s">
        <v>925</v>
      </c>
      <c r="B54" s="19" t="s">
        <v>926</v>
      </c>
      <c r="C54" s="14">
        <f aca="true" t="shared" si="63" ref="C54:E61">SUM(N54,Y54,AJ54,AU54)</f>
        <v>180</v>
      </c>
      <c r="D54" s="15">
        <f t="shared" si="63"/>
        <v>0.1</v>
      </c>
      <c r="E54" s="14">
        <f t="shared" si="63"/>
        <v>0</v>
      </c>
      <c r="F54" s="14">
        <f aca="true" t="shared" si="64" ref="F54:F61">SUM(Q54,AB54,AM54,AX54)</f>
        <v>16.152866666666668</v>
      </c>
      <c r="G54" s="14">
        <f aca="true" t="shared" si="65" ref="G54:G61">SUM(R54,AC54,AN54,AY54)</f>
        <v>0</v>
      </c>
      <c r="H54" s="14">
        <f aca="true" t="shared" si="66" ref="H54:H61">SUM(S54,AD54,AO54,AZ54)</f>
        <v>0</v>
      </c>
      <c r="I54" s="14">
        <f aca="true" t="shared" si="67" ref="I54:I61">SUM(T54,AE54,AP54,BA54)</f>
        <v>5.168917217799027</v>
      </c>
      <c r="J54" s="14">
        <f aca="true" t="shared" si="68" ref="J54:J61">SUM(F54:I54)</f>
        <v>21.321783884465695</v>
      </c>
      <c r="K54" s="22"/>
      <c r="N54" s="14">
        <v>0</v>
      </c>
      <c r="O54" s="15">
        <f t="shared" si="24"/>
        <v>0</v>
      </c>
      <c r="P54" s="14">
        <v>0</v>
      </c>
      <c r="Q54" s="14">
        <v>0</v>
      </c>
      <c r="R54" s="14">
        <v>0</v>
      </c>
      <c r="S54" s="14">
        <v>0</v>
      </c>
      <c r="T54" s="14">
        <v>0</v>
      </c>
      <c r="U54" s="14">
        <f aca="true" t="shared" si="69" ref="U54:U61">SUM(Q54:T54)</f>
        <v>0</v>
      </c>
      <c r="V54" s="16">
        <f t="shared" si="26"/>
        <v>0</v>
      </c>
      <c r="Y54" s="14">
        <v>140</v>
      </c>
      <c r="Z54" s="15">
        <f t="shared" si="27"/>
        <v>0.07777777777777778</v>
      </c>
      <c r="AA54" s="14">
        <v>0</v>
      </c>
      <c r="AB54" s="14">
        <v>12.738555555555555</v>
      </c>
      <c r="AC54" s="14">
        <v>0</v>
      </c>
      <c r="AD54" s="14">
        <v>0</v>
      </c>
      <c r="AE54" s="14">
        <v>4.0763376866645284</v>
      </c>
      <c r="AF54" s="14">
        <f aca="true" t="shared" si="70" ref="AF54:AF61">SUM(AB54:AE54)</f>
        <v>16.814893242220084</v>
      </c>
      <c r="AG54" s="16">
        <f t="shared" si="29"/>
        <v>0.7886250668955905</v>
      </c>
      <c r="AJ54" s="14">
        <v>40</v>
      </c>
      <c r="AK54" s="15">
        <f t="shared" si="30"/>
        <v>0.022222222222222223</v>
      </c>
      <c r="AL54" s="14">
        <v>0</v>
      </c>
      <c r="AM54" s="14">
        <v>3.414311111111111</v>
      </c>
      <c r="AN54" s="14">
        <v>0</v>
      </c>
      <c r="AO54" s="14">
        <v>0</v>
      </c>
      <c r="AP54" s="14">
        <v>1.0925795311344992</v>
      </c>
      <c r="AQ54" s="14">
        <f aca="true" t="shared" si="71" ref="AQ54:AQ61">SUM(AM54:AP54)</f>
        <v>4.50689064224561</v>
      </c>
      <c r="AR54" s="16">
        <f t="shared" si="32"/>
        <v>0.21137493310440936</v>
      </c>
      <c r="AU54" s="14">
        <v>0</v>
      </c>
      <c r="AV54" s="15">
        <f t="shared" si="33"/>
        <v>0</v>
      </c>
      <c r="AW54" s="14">
        <v>0</v>
      </c>
      <c r="AX54" s="14">
        <v>0</v>
      </c>
      <c r="AY54" s="14">
        <v>0</v>
      </c>
      <c r="AZ54" s="14">
        <v>0</v>
      </c>
      <c r="BA54" s="14">
        <v>0</v>
      </c>
      <c r="BB54" s="14">
        <f t="shared" si="34"/>
        <v>0</v>
      </c>
      <c r="BC54" s="16">
        <f t="shared" si="35"/>
        <v>0</v>
      </c>
    </row>
    <row r="55" spans="1:55" ht="12.75">
      <c r="A55" s="23" t="s">
        <v>927</v>
      </c>
      <c r="B55" s="19" t="s">
        <v>928</v>
      </c>
      <c r="C55" s="14">
        <f t="shared" si="63"/>
        <v>980</v>
      </c>
      <c r="D55" s="15">
        <f t="shared" si="63"/>
        <v>0.5444444444444445</v>
      </c>
      <c r="E55" s="14">
        <f t="shared" si="63"/>
        <v>0</v>
      </c>
      <c r="F55" s="14">
        <f t="shared" si="64"/>
        <v>77.77846666666667</v>
      </c>
      <c r="G55" s="14">
        <f t="shared" si="65"/>
        <v>0</v>
      </c>
      <c r="H55" s="14">
        <f t="shared" si="66"/>
        <v>0</v>
      </c>
      <c r="I55" s="14">
        <f t="shared" si="67"/>
        <v>24.889108777018386</v>
      </c>
      <c r="J55" s="14">
        <f t="shared" si="68"/>
        <v>102.66757544368505</v>
      </c>
      <c r="K55" s="22"/>
      <c r="N55" s="14">
        <v>140</v>
      </c>
      <c r="O55" s="15">
        <f t="shared" si="24"/>
        <v>0.07777777777777778</v>
      </c>
      <c r="P55" s="14">
        <v>0</v>
      </c>
      <c r="Q55" s="14">
        <v>11.567122222222222</v>
      </c>
      <c r="R55" s="14">
        <v>0</v>
      </c>
      <c r="S55" s="14">
        <v>0</v>
      </c>
      <c r="T55" s="14">
        <v>3.7014790283766055</v>
      </c>
      <c r="U55" s="14">
        <f t="shared" si="69"/>
        <v>15.268601250598827</v>
      </c>
      <c r="V55" s="16">
        <f t="shared" si="26"/>
        <v>0.14871882563325867</v>
      </c>
      <c r="Y55" s="14">
        <v>420</v>
      </c>
      <c r="Z55" s="15">
        <f t="shared" si="27"/>
        <v>0.23333333333333334</v>
      </c>
      <c r="AA55" s="14">
        <v>0</v>
      </c>
      <c r="AB55" s="14">
        <v>33.1695</v>
      </c>
      <c r="AC55" s="14">
        <v>0</v>
      </c>
      <c r="AD55" s="14">
        <v>0</v>
      </c>
      <c r="AE55" s="14">
        <v>10.614239762753249</v>
      </c>
      <c r="AF55" s="14">
        <f t="shared" si="70"/>
        <v>43.78373976275325</v>
      </c>
      <c r="AG55" s="16">
        <f t="shared" si="29"/>
        <v>0.4264612227720269</v>
      </c>
      <c r="AJ55" s="14">
        <v>420</v>
      </c>
      <c r="AK55" s="15">
        <f t="shared" si="30"/>
        <v>0.23333333333333334</v>
      </c>
      <c r="AL55" s="14">
        <v>0</v>
      </c>
      <c r="AM55" s="14">
        <v>33.04184444444444</v>
      </c>
      <c r="AN55" s="14">
        <v>0</v>
      </c>
      <c r="AO55" s="14">
        <v>0</v>
      </c>
      <c r="AP55" s="14">
        <v>10.573389985888534</v>
      </c>
      <c r="AQ55" s="14">
        <f t="shared" si="71"/>
        <v>43.615234430332976</v>
      </c>
      <c r="AR55" s="16">
        <f t="shared" si="32"/>
        <v>0.4248199515947144</v>
      </c>
      <c r="AU55" s="14">
        <v>0</v>
      </c>
      <c r="AV55" s="15">
        <f t="shared" si="33"/>
        <v>0</v>
      </c>
      <c r="AW55" s="14">
        <v>0</v>
      </c>
      <c r="AX55" s="14">
        <v>0</v>
      </c>
      <c r="AY55" s="14">
        <v>0</v>
      </c>
      <c r="AZ55" s="14">
        <v>0</v>
      </c>
      <c r="BA55" s="14">
        <v>0</v>
      </c>
      <c r="BB55" s="14">
        <f t="shared" si="34"/>
        <v>0</v>
      </c>
      <c r="BC55" s="16">
        <f t="shared" si="35"/>
        <v>0</v>
      </c>
    </row>
    <row r="56" spans="1:55" ht="12.75">
      <c r="A56" s="23" t="s">
        <v>929</v>
      </c>
      <c r="B56" s="19" t="s">
        <v>930</v>
      </c>
      <c r="C56" s="14">
        <f t="shared" si="63"/>
        <v>3060</v>
      </c>
      <c r="D56" s="15">
        <f t="shared" si="63"/>
        <v>1.7</v>
      </c>
      <c r="E56" s="14">
        <f t="shared" si="63"/>
        <v>0</v>
      </c>
      <c r="F56" s="14">
        <f t="shared" si="64"/>
        <v>185.82892862318852</v>
      </c>
      <c r="G56" s="14">
        <f t="shared" si="65"/>
        <v>0</v>
      </c>
      <c r="H56" s="14">
        <f t="shared" si="66"/>
        <v>0</v>
      </c>
      <c r="I56" s="14">
        <f t="shared" si="67"/>
        <v>70.61499254298452</v>
      </c>
      <c r="J56" s="14">
        <f t="shared" si="68"/>
        <v>256.443921166173</v>
      </c>
      <c r="K56" s="22"/>
      <c r="N56" s="14">
        <v>230</v>
      </c>
      <c r="O56" s="15">
        <f t="shared" si="24"/>
        <v>0.12777777777777777</v>
      </c>
      <c r="P56" s="14">
        <v>0</v>
      </c>
      <c r="Q56" s="14">
        <v>18.611044444444445</v>
      </c>
      <c r="R56" s="14">
        <v>0</v>
      </c>
      <c r="S56" s="14">
        <v>0</v>
      </c>
      <c r="T56" s="14">
        <v>7.072196800144513</v>
      </c>
      <c r="U56" s="14">
        <f t="shared" si="69"/>
        <v>25.68324124458896</v>
      </c>
      <c r="V56" s="16">
        <f t="shared" si="26"/>
        <v>0.10015149170935693</v>
      </c>
      <c r="Y56" s="14">
        <v>650</v>
      </c>
      <c r="Z56" s="15">
        <f t="shared" si="27"/>
        <v>0.3611111111111111</v>
      </c>
      <c r="AA56" s="14">
        <v>0</v>
      </c>
      <c r="AB56" s="14">
        <v>51.39757777777778</v>
      </c>
      <c r="AC56" s="14">
        <v>0</v>
      </c>
      <c r="AD56" s="14">
        <v>0</v>
      </c>
      <c r="AE56" s="14">
        <v>19.53107931047281</v>
      </c>
      <c r="AF56" s="14">
        <f t="shared" si="70"/>
        <v>70.92865708825059</v>
      </c>
      <c r="AG56" s="16">
        <f t="shared" si="29"/>
        <v>0.27658544903581295</v>
      </c>
      <c r="AJ56" s="233">
        <f>3680-1500</f>
        <v>2180</v>
      </c>
      <c r="AK56" s="15">
        <f t="shared" si="30"/>
        <v>1.211111111111111</v>
      </c>
      <c r="AL56" s="14">
        <v>0</v>
      </c>
      <c r="AM56" s="233">
        <f>195.513177777778*(3680-1500)/3680</f>
        <v>115.82030640096632</v>
      </c>
      <c r="AN56" s="14">
        <v>0</v>
      </c>
      <c r="AO56" s="14">
        <v>0</v>
      </c>
      <c r="AP56" s="233">
        <f>SUM(AM56:AO56)*0.38</f>
        <v>44.0117164323672</v>
      </c>
      <c r="AQ56" s="14">
        <f t="shared" si="71"/>
        <v>159.83202283333353</v>
      </c>
      <c r="AR56" s="16">
        <f t="shared" si="32"/>
        <v>0.6232630592548303</v>
      </c>
      <c r="AU56" s="14">
        <v>0</v>
      </c>
      <c r="AV56" s="15">
        <f t="shared" si="33"/>
        <v>0</v>
      </c>
      <c r="AW56" s="14">
        <v>0</v>
      </c>
      <c r="AX56" s="14">
        <v>0</v>
      </c>
      <c r="AY56" s="14">
        <v>0</v>
      </c>
      <c r="AZ56" s="14">
        <v>0</v>
      </c>
      <c r="BA56" s="14">
        <v>0</v>
      </c>
      <c r="BB56" s="14">
        <f t="shared" si="34"/>
        <v>0</v>
      </c>
      <c r="BC56" s="16">
        <f t="shared" si="35"/>
        <v>0</v>
      </c>
    </row>
    <row r="57" spans="1:55" ht="12.75">
      <c r="A57" s="23" t="s">
        <v>931</v>
      </c>
      <c r="B57" s="19" t="s">
        <v>932</v>
      </c>
      <c r="C57" s="14">
        <f t="shared" si="63"/>
        <v>3755</v>
      </c>
      <c r="D57" s="15">
        <f t="shared" si="63"/>
        <v>2.0861111111111112</v>
      </c>
      <c r="E57" s="14">
        <f t="shared" si="63"/>
        <v>0</v>
      </c>
      <c r="F57" s="14">
        <f t="shared" si="64"/>
        <v>223.1987388888889</v>
      </c>
      <c r="G57" s="14">
        <f t="shared" si="65"/>
        <v>0</v>
      </c>
      <c r="H57" s="14">
        <f t="shared" si="66"/>
        <v>0</v>
      </c>
      <c r="I57" s="14">
        <f t="shared" si="67"/>
        <v>84.81551971348325</v>
      </c>
      <c r="J57" s="14">
        <f t="shared" si="68"/>
        <v>308.01425860237214</v>
      </c>
      <c r="K57" s="22"/>
      <c r="N57" s="14">
        <v>240</v>
      </c>
      <c r="O57" s="15">
        <f t="shared" si="24"/>
        <v>0.13333333333333333</v>
      </c>
      <c r="P57" s="14">
        <v>0</v>
      </c>
      <c r="Q57" s="14">
        <v>19.847588888888886</v>
      </c>
      <c r="R57" s="14">
        <v>0</v>
      </c>
      <c r="S57" s="14">
        <v>0</v>
      </c>
      <c r="T57" s="14">
        <v>7.542083683137099</v>
      </c>
      <c r="U57" s="14">
        <f t="shared" si="69"/>
        <v>27.389672572025987</v>
      </c>
      <c r="V57" s="16">
        <f t="shared" si="26"/>
        <v>0.08892339171669453</v>
      </c>
      <c r="Y57" s="14">
        <v>495</v>
      </c>
      <c r="Z57" s="15">
        <f t="shared" si="27"/>
        <v>0.275</v>
      </c>
      <c r="AA57" s="14">
        <v>0</v>
      </c>
      <c r="AB57" s="14">
        <v>35.933150000000005</v>
      </c>
      <c r="AC57" s="14">
        <v>0</v>
      </c>
      <c r="AD57" s="14">
        <v>0</v>
      </c>
      <c r="AE57" s="14">
        <v>13.65459682865739</v>
      </c>
      <c r="AF57" s="14">
        <f t="shared" si="70"/>
        <v>49.587746828657394</v>
      </c>
      <c r="AG57" s="16">
        <f t="shared" si="29"/>
        <v>0.16099172503787296</v>
      </c>
      <c r="AJ57" s="14">
        <v>3020</v>
      </c>
      <c r="AK57" s="15">
        <f t="shared" si="30"/>
        <v>1.6777777777777778</v>
      </c>
      <c r="AL57" s="14">
        <v>0</v>
      </c>
      <c r="AM57" s="14">
        <v>167.418</v>
      </c>
      <c r="AN57" s="14">
        <v>0</v>
      </c>
      <c r="AO57" s="14">
        <v>0</v>
      </c>
      <c r="AP57" s="14">
        <v>63.618839201688765</v>
      </c>
      <c r="AQ57" s="14">
        <f t="shared" si="71"/>
        <v>231.03683920168876</v>
      </c>
      <c r="AR57" s="16">
        <f t="shared" si="32"/>
        <v>0.7500848832454325</v>
      </c>
      <c r="AU57" s="14">
        <v>0</v>
      </c>
      <c r="AV57" s="15">
        <f t="shared" si="33"/>
        <v>0</v>
      </c>
      <c r="AW57" s="14">
        <v>0</v>
      </c>
      <c r="AX57" s="14">
        <v>0</v>
      </c>
      <c r="AY57" s="14">
        <v>0</v>
      </c>
      <c r="AZ57" s="14">
        <v>0</v>
      </c>
      <c r="BA57" s="14">
        <v>0</v>
      </c>
      <c r="BB57" s="14">
        <f t="shared" si="34"/>
        <v>0</v>
      </c>
      <c r="BC57" s="16">
        <f t="shared" si="35"/>
        <v>0</v>
      </c>
    </row>
    <row r="58" spans="1:55" ht="12.75">
      <c r="A58" s="23" t="s">
        <v>933</v>
      </c>
      <c r="B58" s="19" t="s">
        <v>934</v>
      </c>
      <c r="C58" s="14">
        <f t="shared" si="63"/>
        <v>760</v>
      </c>
      <c r="D58" s="15">
        <f t="shared" si="63"/>
        <v>0.4222222222222222</v>
      </c>
      <c r="E58" s="14">
        <f t="shared" si="63"/>
        <v>0</v>
      </c>
      <c r="F58" s="14">
        <f t="shared" si="64"/>
        <v>57.45463333333333</v>
      </c>
      <c r="G58" s="14">
        <f t="shared" si="65"/>
        <v>105.73500000000001</v>
      </c>
      <c r="H58" s="14">
        <f t="shared" si="66"/>
        <v>0</v>
      </c>
      <c r="I58" s="14">
        <f t="shared" si="67"/>
        <v>59.2665883393809</v>
      </c>
      <c r="J58" s="14">
        <f t="shared" si="68"/>
        <v>222.45622167271426</v>
      </c>
      <c r="K58" s="22"/>
      <c r="N58" s="14">
        <v>60</v>
      </c>
      <c r="O58" s="15">
        <f t="shared" si="24"/>
        <v>0.03333333333333333</v>
      </c>
      <c r="P58" s="14">
        <v>0</v>
      </c>
      <c r="Q58" s="14">
        <v>5.121466666666667</v>
      </c>
      <c r="R58" s="14">
        <v>0</v>
      </c>
      <c r="S58" s="14">
        <v>0</v>
      </c>
      <c r="T58" s="14">
        <v>1.638869296701749</v>
      </c>
      <c r="U58" s="14">
        <f t="shared" si="69"/>
        <v>6.760335963368416</v>
      </c>
      <c r="V58" s="16">
        <f t="shared" si="26"/>
        <v>0.030389511754427213</v>
      </c>
      <c r="Y58" s="14">
        <v>500</v>
      </c>
      <c r="Z58" s="15">
        <f t="shared" si="27"/>
        <v>0.2777777777777778</v>
      </c>
      <c r="AA58" s="14">
        <v>0</v>
      </c>
      <c r="AB58" s="14">
        <v>40.636399999999995</v>
      </c>
      <c r="AC58" s="14">
        <v>0</v>
      </c>
      <c r="AD58" s="14">
        <v>0</v>
      </c>
      <c r="AE58" s="14">
        <v>13.003647709345817</v>
      </c>
      <c r="AF58" s="14">
        <f t="shared" si="70"/>
        <v>53.64004770934581</v>
      </c>
      <c r="AG58" s="16">
        <f t="shared" si="29"/>
        <v>0.24112630928463313</v>
      </c>
      <c r="AJ58" s="14">
        <v>200</v>
      </c>
      <c r="AK58" s="15">
        <f t="shared" si="30"/>
        <v>0.1111111111111111</v>
      </c>
      <c r="AL58" s="14">
        <v>0</v>
      </c>
      <c r="AM58" s="14">
        <v>11.696766666666667</v>
      </c>
      <c r="AN58" s="233">
        <f>179.735-74</f>
        <v>105.73500000000001</v>
      </c>
      <c r="AO58" s="14">
        <v>0</v>
      </c>
      <c r="AP58" s="233">
        <f>SUM(AM58:AO58)*0.38</f>
        <v>44.62407133333334</v>
      </c>
      <c r="AQ58" s="14">
        <f t="shared" si="71"/>
        <v>162.05583800000002</v>
      </c>
      <c r="AR58" s="16">
        <f t="shared" si="32"/>
        <v>0.7284841789609395</v>
      </c>
      <c r="AU58" s="14">
        <v>0</v>
      </c>
      <c r="AV58" s="15">
        <f t="shared" si="33"/>
        <v>0</v>
      </c>
      <c r="AW58" s="14">
        <v>0</v>
      </c>
      <c r="AX58" s="14">
        <v>0</v>
      </c>
      <c r="AY58" s="14">
        <v>0</v>
      </c>
      <c r="AZ58" s="14">
        <v>0</v>
      </c>
      <c r="BA58" s="14">
        <v>0</v>
      </c>
      <c r="BB58" s="14">
        <f t="shared" si="34"/>
        <v>0</v>
      </c>
      <c r="BC58" s="16">
        <f t="shared" si="35"/>
        <v>0</v>
      </c>
    </row>
    <row r="59" spans="1:55" ht="12.75">
      <c r="A59" s="23" t="s">
        <v>935</v>
      </c>
      <c r="B59" s="19" t="s">
        <v>936</v>
      </c>
      <c r="C59" s="14">
        <f t="shared" si="63"/>
        <v>760</v>
      </c>
      <c r="D59" s="15">
        <f t="shared" si="63"/>
        <v>0.4222222222222222</v>
      </c>
      <c r="E59" s="14">
        <f t="shared" si="63"/>
        <v>0</v>
      </c>
      <c r="F59" s="14">
        <f t="shared" si="64"/>
        <v>56.56104444444445</v>
      </c>
      <c r="G59" s="14">
        <f t="shared" si="65"/>
        <v>49.44</v>
      </c>
      <c r="H59" s="14">
        <f t="shared" si="66"/>
        <v>0</v>
      </c>
      <c r="I59" s="14">
        <f t="shared" si="67"/>
        <v>37.58853960980508</v>
      </c>
      <c r="J59" s="14">
        <f t="shared" si="68"/>
        <v>143.58958405424954</v>
      </c>
      <c r="K59" s="22"/>
      <c r="N59" s="14">
        <v>160</v>
      </c>
      <c r="O59" s="15">
        <f t="shared" si="24"/>
        <v>0.08888888888888889</v>
      </c>
      <c r="P59" s="14">
        <v>0</v>
      </c>
      <c r="Q59" s="14">
        <v>13.274277777777778</v>
      </c>
      <c r="R59" s="14">
        <v>0</v>
      </c>
      <c r="S59" s="14">
        <v>0</v>
      </c>
      <c r="T59" s="14">
        <v>4.247768793943855</v>
      </c>
      <c r="U59" s="14">
        <f t="shared" si="69"/>
        <v>17.52204657172163</v>
      </c>
      <c r="V59" s="16">
        <f t="shared" si="26"/>
        <v>0.1220286742045414</v>
      </c>
      <c r="Y59" s="14">
        <v>400</v>
      </c>
      <c r="Z59" s="15">
        <f t="shared" si="27"/>
        <v>0.2222222222222222</v>
      </c>
      <c r="AA59" s="14">
        <v>0</v>
      </c>
      <c r="AB59" s="14">
        <v>31.59</v>
      </c>
      <c r="AC59" s="14">
        <v>0</v>
      </c>
      <c r="AD59" s="14">
        <v>0</v>
      </c>
      <c r="AE59" s="14">
        <v>10.108799774050713</v>
      </c>
      <c r="AF59" s="14">
        <f t="shared" si="70"/>
        <v>41.69879977405071</v>
      </c>
      <c r="AG59" s="16">
        <f t="shared" si="29"/>
        <v>0.2904026782213987</v>
      </c>
      <c r="AJ59" s="14">
        <v>200</v>
      </c>
      <c r="AK59" s="15">
        <f t="shared" si="30"/>
        <v>0.1111111111111111</v>
      </c>
      <c r="AL59" s="14">
        <v>0</v>
      </c>
      <c r="AM59" s="14">
        <v>11.696766666666667</v>
      </c>
      <c r="AN59" s="14">
        <v>49.44</v>
      </c>
      <c r="AO59" s="14">
        <v>0</v>
      </c>
      <c r="AP59" s="14">
        <v>23.23197104181051</v>
      </c>
      <c r="AQ59" s="14">
        <f t="shared" si="71"/>
        <v>84.36873770847717</v>
      </c>
      <c r="AR59" s="16">
        <f t="shared" si="32"/>
        <v>0.5875686475740597</v>
      </c>
      <c r="AU59" s="14">
        <v>0</v>
      </c>
      <c r="AV59" s="15">
        <f t="shared" si="33"/>
        <v>0</v>
      </c>
      <c r="AW59" s="14">
        <v>0</v>
      </c>
      <c r="AX59" s="14">
        <v>0</v>
      </c>
      <c r="AY59" s="14">
        <v>0</v>
      </c>
      <c r="AZ59" s="14">
        <v>0</v>
      </c>
      <c r="BA59" s="14">
        <v>0</v>
      </c>
      <c r="BB59" s="14">
        <f t="shared" si="34"/>
        <v>0</v>
      </c>
      <c r="BC59" s="16">
        <f t="shared" si="35"/>
        <v>0</v>
      </c>
    </row>
    <row r="60" spans="1:55" ht="12.75">
      <c r="A60" s="23" t="s">
        <v>937</v>
      </c>
      <c r="B60" s="19" t="s">
        <v>938</v>
      </c>
      <c r="C60" s="14">
        <f t="shared" si="63"/>
        <v>320</v>
      </c>
      <c r="D60" s="15">
        <f t="shared" si="63"/>
        <v>0.17777777777777778</v>
      </c>
      <c r="E60" s="14">
        <f t="shared" si="63"/>
        <v>0</v>
      </c>
      <c r="F60" s="14">
        <f t="shared" si="64"/>
        <v>25.49062222222222</v>
      </c>
      <c r="G60" s="14">
        <f t="shared" si="65"/>
        <v>52.53</v>
      </c>
      <c r="H60" s="14">
        <f t="shared" si="66"/>
        <v>0</v>
      </c>
      <c r="I60" s="14">
        <f t="shared" si="67"/>
        <v>28.244462683314747</v>
      </c>
      <c r="J60" s="14">
        <f t="shared" si="68"/>
        <v>106.26508490553697</v>
      </c>
      <c r="K60" s="22"/>
      <c r="N60" s="14">
        <v>0</v>
      </c>
      <c r="O60" s="15">
        <f t="shared" si="24"/>
        <v>0</v>
      </c>
      <c r="P60" s="14">
        <v>0</v>
      </c>
      <c r="Q60" s="14">
        <v>0</v>
      </c>
      <c r="R60" s="14">
        <v>0</v>
      </c>
      <c r="S60" s="14">
        <v>0</v>
      </c>
      <c r="T60" s="14">
        <v>0</v>
      </c>
      <c r="U60" s="14">
        <f t="shared" si="69"/>
        <v>0</v>
      </c>
      <c r="V60" s="16">
        <f t="shared" si="26"/>
        <v>0</v>
      </c>
      <c r="Y60" s="14">
        <v>280</v>
      </c>
      <c r="Z60" s="15">
        <f t="shared" si="27"/>
        <v>0.15555555555555556</v>
      </c>
      <c r="AA60" s="14">
        <v>0</v>
      </c>
      <c r="AB60" s="14">
        <v>23.389555555555553</v>
      </c>
      <c r="AC60" s="14">
        <v>0</v>
      </c>
      <c r="AD60" s="14">
        <v>0</v>
      </c>
      <c r="AE60" s="14">
        <v>7.484657610482639</v>
      </c>
      <c r="AF60" s="14">
        <f t="shared" si="70"/>
        <v>30.874213166038192</v>
      </c>
      <c r="AG60" s="16">
        <f t="shared" si="29"/>
        <v>0.29053958027214155</v>
      </c>
      <c r="AJ60" s="14">
        <v>40</v>
      </c>
      <c r="AK60" s="15">
        <f t="shared" si="30"/>
        <v>0.022222222222222223</v>
      </c>
      <c r="AL60" s="14">
        <v>0</v>
      </c>
      <c r="AM60" s="14">
        <v>2.1010666666666666</v>
      </c>
      <c r="AN60" s="14">
        <v>52.53</v>
      </c>
      <c r="AO60" s="14">
        <v>0</v>
      </c>
      <c r="AP60" s="14">
        <v>20.75980507283211</v>
      </c>
      <c r="AQ60" s="14">
        <f t="shared" si="71"/>
        <v>75.39087173949878</v>
      </c>
      <c r="AR60" s="16">
        <f t="shared" si="32"/>
        <v>0.7094604197278586</v>
      </c>
      <c r="AU60" s="14">
        <v>0</v>
      </c>
      <c r="AV60" s="15">
        <f t="shared" si="33"/>
        <v>0</v>
      </c>
      <c r="AW60" s="14">
        <v>0</v>
      </c>
      <c r="AX60" s="14">
        <v>0</v>
      </c>
      <c r="AY60" s="14">
        <v>0</v>
      </c>
      <c r="AZ60" s="14">
        <v>0</v>
      </c>
      <c r="BA60" s="14">
        <v>0</v>
      </c>
      <c r="BB60" s="14">
        <f t="shared" si="34"/>
        <v>0</v>
      </c>
      <c r="BC60" s="16">
        <f t="shared" si="35"/>
        <v>0</v>
      </c>
    </row>
    <row r="61" spans="1:55" ht="12.75">
      <c r="A61" s="23" t="s">
        <v>939</v>
      </c>
      <c r="B61" s="19" t="s">
        <v>940</v>
      </c>
      <c r="C61" s="14">
        <f t="shared" si="63"/>
        <v>760</v>
      </c>
      <c r="D61" s="15">
        <f t="shared" si="63"/>
        <v>0.4222222222222222</v>
      </c>
      <c r="E61" s="14">
        <f t="shared" si="63"/>
        <v>0</v>
      </c>
      <c r="F61" s="14">
        <f t="shared" si="64"/>
        <v>60.69156666666667</v>
      </c>
      <c r="G61" s="14">
        <f t="shared" si="65"/>
        <v>0</v>
      </c>
      <c r="H61" s="14">
        <f t="shared" si="66"/>
        <v>0</v>
      </c>
      <c r="I61" s="14">
        <f t="shared" si="67"/>
        <v>19.421300899233422</v>
      </c>
      <c r="J61" s="14">
        <f t="shared" si="68"/>
        <v>80.11286756590009</v>
      </c>
      <c r="K61" s="22"/>
      <c r="N61" s="14">
        <v>160</v>
      </c>
      <c r="O61" s="15">
        <f t="shared" si="24"/>
        <v>0.08888888888888889</v>
      </c>
      <c r="P61" s="14">
        <v>0</v>
      </c>
      <c r="Q61" s="14">
        <v>13.018966666666667</v>
      </c>
      <c r="R61" s="14">
        <v>0</v>
      </c>
      <c r="S61" s="14">
        <v>0</v>
      </c>
      <c r="T61" s="14">
        <v>4.166069240214428</v>
      </c>
      <c r="U61" s="14">
        <f t="shared" si="69"/>
        <v>17.185035906881097</v>
      </c>
      <c r="V61" s="16">
        <f t="shared" si="26"/>
        <v>0.21451030813177233</v>
      </c>
      <c r="Y61" s="14">
        <v>480</v>
      </c>
      <c r="Z61" s="15">
        <f t="shared" si="27"/>
        <v>0.26666666666666666</v>
      </c>
      <c r="AA61" s="14">
        <v>0</v>
      </c>
      <c r="AB61" s="14">
        <v>39.43986666666667</v>
      </c>
      <c r="AC61" s="14">
        <v>0</v>
      </c>
      <c r="AD61" s="14">
        <v>0</v>
      </c>
      <c r="AE61" s="14">
        <v>12.620757051237424</v>
      </c>
      <c r="AF61" s="14">
        <f t="shared" si="70"/>
        <v>52.06062371790409</v>
      </c>
      <c r="AG61" s="16">
        <f t="shared" si="29"/>
        <v>0.6498409718648445</v>
      </c>
      <c r="AJ61" s="14">
        <v>120</v>
      </c>
      <c r="AK61" s="15">
        <f t="shared" si="30"/>
        <v>0.06666666666666667</v>
      </c>
      <c r="AL61" s="14">
        <v>0</v>
      </c>
      <c r="AM61" s="14">
        <v>8.232733333333334</v>
      </c>
      <c r="AN61" s="14">
        <v>0</v>
      </c>
      <c r="AO61" s="14">
        <v>0</v>
      </c>
      <c r="AP61" s="14">
        <v>2.6344746077815695</v>
      </c>
      <c r="AQ61" s="14">
        <f t="shared" si="71"/>
        <v>10.867207941114904</v>
      </c>
      <c r="AR61" s="16">
        <f t="shared" si="32"/>
        <v>0.13564872000338324</v>
      </c>
      <c r="AU61" s="14">
        <v>0</v>
      </c>
      <c r="AV61" s="15">
        <f t="shared" si="33"/>
        <v>0</v>
      </c>
      <c r="AW61" s="14">
        <v>0</v>
      </c>
      <c r="AX61" s="14">
        <v>0</v>
      </c>
      <c r="AY61" s="14">
        <v>0</v>
      </c>
      <c r="AZ61" s="14">
        <v>0</v>
      </c>
      <c r="BA61" s="14">
        <v>0</v>
      </c>
      <c r="BB61" s="14">
        <f t="shared" si="34"/>
        <v>0</v>
      </c>
      <c r="BC61" s="16">
        <f t="shared" si="35"/>
        <v>0</v>
      </c>
    </row>
    <row r="62" spans="1:55" ht="12.75">
      <c r="A62" s="13">
        <v>4.5</v>
      </c>
      <c r="B62" s="19" t="s">
        <v>941</v>
      </c>
      <c r="K62" s="22"/>
      <c r="V62" s="22"/>
      <c r="AG62" s="22"/>
      <c r="AR62" s="22"/>
      <c r="BC62" s="22"/>
    </row>
    <row r="63" spans="1:55" ht="12.75">
      <c r="A63" s="23" t="s">
        <v>942</v>
      </c>
      <c r="B63" s="19" t="s">
        <v>943</v>
      </c>
      <c r="C63" s="14">
        <f aca="true" t="shared" si="72" ref="C63:E65">SUM(N63,Y63,AJ63,AU63)</f>
        <v>13778.79995727539</v>
      </c>
      <c r="D63" s="15">
        <f t="shared" si="72"/>
        <v>7.654888865152994</v>
      </c>
      <c r="E63" s="14">
        <f t="shared" si="72"/>
        <v>5</v>
      </c>
      <c r="F63" s="14">
        <f aca="true" t="shared" si="73" ref="F63:I65">SUM(Q63,AB63,AM63,AX63)</f>
        <v>667.3105900299411</v>
      </c>
      <c r="G63" s="14">
        <f t="shared" si="73"/>
        <v>940.9886666666666</v>
      </c>
      <c r="H63" s="14">
        <f t="shared" si="73"/>
        <v>15.878675537109377</v>
      </c>
      <c r="I63" s="14">
        <f t="shared" si="73"/>
        <v>454.76982183524774</v>
      </c>
      <c r="J63" s="14">
        <f>SUM(F63:I63)</f>
        <v>2078.947754068965</v>
      </c>
      <c r="K63" s="22"/>
      <c r="N63" s="14">
        <v>3036.6000061035156</v>
      </c>
      <c r="O63" s="15">
        <f t="shared" si="24"/>
        <v>1.687000003390842</v>
      </c>
      <c r="P63" s="14">
        <v>0</v>
      </c>
      <c r="Q63" s="14">
        <v>146.72984348778618</v>
      </c>
      <c r="R63" s="14">
        <v>15.862</v>
      </c>
      <c r="S63" s="14">
        <v>0</v>
      </c>
      <c r="T63" s="14">
        <v>45.525716370404716</v>
      </c>
      <c r="U63" s="14">
        <f>SUM(Q63:T63)</f>
        <v>208.1175598581909</v>
      </c>
      <c r="V63" s="16">
        <f t="shared" si="26"/>
        <v>0.10010716212125022</v>
      </c>
      <c r="Y63" s="14">
        <v>10154.199951171875</v>
      </c>
      <c r="Z63" s="15">
        <f t="shared" si="27"/>
        <v>5.641222195095486</v>
      </c>
      <c r="AA63" s="14">
        <v>1</v>
      </c>
      <c r="AB63" s="14">
        <v>484.9716843199327</v>
      </c>
      <c r="AC63" s="14">
        <v>28.84</v>
      </c>
      <c r="AD63" s="14">
        <v>2.911735107421875</v>
      </c>
      <c r="AE63" s="14">
        <v>144.6825580556416</v>
      </c>
      <c r="AF63" s="14">
        <f>SUM(AB63:AE63)</f>
        <v>661.4059774829963</v>
      </c>
      <c r="AG63" s="16">
        <f t="shared" si="29"/>
        <v>0.3181445883805772</v>
      </c>
      <c r="AJ63" s="14">
        <v>588</v>
      </c>
      <c r="AK63" s="15">
        <f t="shared" si="30"/>
        <v>0.32666666666666666</v>
      </c>
      <c r="AL63" s="14">
        <v>4</v>
      </c>
      <c r="AM63" s="14">
        <v>35.60906222222222</v>
      </c>
      <c r="AN63" s="233">
        <f>1022.62-364/3-2*2.5</f>
        <v>896.2866666666666</v>
      </c>
      <c r="AO63" s="14">
        <v>12.9669404296875</v>
      </c>
      <c r="AP63" s="233">
        <f>SUM(AM63:AO63)*0.28</f>
        <v>264.5615474092014</v>
      </c>
      <c r="AQ63" s="14">
        <f>SUM(AM63:AP63)</f>
        <v>1209.4242167277778</v>
      </c>
      <c r="AR63" s="16">
        <f t="shared" si="32"/>
        <v>0.5817482494981726</v>
      </c>
      <c r="AU63" s="14">
        <v>0</v>
      </c>
      <c r="AV63" s="15">
        <f t="shared" si="33"/>
        <v>0</v>
      </c>
      <c r="AW63" s="14">
        <v>0</v>
      </c>
      <c r="AX63" s="14">
        <v>0</v>
      </c>
      <c r="AY63" s="14">
        <v>0</v>
      </c>
      <c r="AZ63" s="14">
        <v>0</v>
      </c>
      <c r="BA63" s="14">
        <v>0</v>
      </c>
      <c r="BB63" s="14">
        <f t="shared" si="34"/>
        <v>0</v>
      </c>
      <c r="BC63" s="16">
        <f t="shared" si="35"/>
        <v>0</v>
      </c>
    </row>
    <row r="64" spans="1:55" ht="12.75">
      <c r="A64" s="23" t="s">
        <v>944</v>
      </c>
      <c r="B64" s="19" t="s">
        <v>945</v>
      </c>
      <c r="C64" s="14">
        <f t="shared" si="72"/>
        <v>3040</v>
      </c>
      <c r="D64" s="15">
        <f t="shared" si="72"/>
        <v>1.6888888888888889</v>
      </c>
      <c r="E64" s="14">
        <f t="shared" si="72"/>
        <v>2</v>
      </c>
      <c r="F64" s="14">
        <f t="shared" si="73"/>
        <v>211.52337777777777</v>
      </c>
      <c r="G64" s="14">
        <f t="shared" si="73"/>
        <v>1708.2</v>
      </c>
      <c r="H64" s="14">
        <f t="shared" si="73"/>
        <v>5.62347021484375</v>
      </c>
      <c r="I64" s="14">
        <f t="shared" si="73"/>
        <v>376.5324516951144</v>
      </c>
      <c r="J64" s="14">
        <f>SUM(F64:I64)</f>
        <v>2301.879299687736</v>
      </c>
      <c r="K64" s="22"/>
      <c r="N64" s="14">
        <v>320</v>
      </c>
      <c r="O64" s="15">
        <f t="shared" si="24"/>
        <v>0.17777777777777778</v>
      </c>
      <c r="P64" s="14">
        <v>1</v>
      </c>
      <c r="Q64" s="14">
        <v>25.272</v>
      </c>
      <c r="R64" s="14">
        <v>0</v>
      </c>
      <c r="S64" s="14">
        <v>2.811735107421875</v>
      </c>
      <c r="T64" s="14">
        <v>3.3700481375641775</v>
      </c>
      <c r="U64" s="14">
        <f>SUM(Q64:T64)</f>
        <v>31.45378324498605</v>
      </c>
      <c r="V64" s="16">
        <f t="shared" si="26"/>
        <v>0.013664392937220013</v>
      </c>
      <c r="Y64" s="14">
        <v>960</v>
      </c>
      <c r="Z64" s="15">
        <f t="shared" si="27"/>
        <v>0.5333333333333333</v>
      </c>
      <c r="AA64" s="14">
        <v>1</v>
      </c>
      <c r="AB64" s="14">
        <v>75.816</v>
      </c>
      <c r="AC64" s="14">
        <v>0</v>
      </c>
      <c r="AD64" s="14">
        <v>2.811735107421875</v>
      </c>
      <c r="AE64" s="14">
        <v>9.435328001994606</v>
      </c>
      <c r="AF64" s="14">
        <f>SUM(AB64:AE64)</f>
        <v>88.06306310941649</v>
      </c>
      <c r="AG64" s="16">
        <f t="shared" si="29"/>
        <v>0.038257028994249515</v>
      </c>
      <c r="AJ64" s="14">
        <v>1760</v>
      </c>
      <c r="AK64" s="15">
        <f t="shared" si="30"/>
        <v>0.9777777777777777</v>
      </c>
      <c r="AL64" s="14">
        <v>0</v>
      </c>
      <c r="AM64" s="14">
        <v>110.43537777777777</v>
      </c>
      <c r="AN64" s="233">
        <f>1483.2-75-20+3*75+200-0.15*(500+200)</f>
        <v>1708.2</v>
      </c>
      <c r="AO64" s="14">
        <v>0</v>
      </c>
      <c r="AP64" s="233">
        <f>SUM(AM64:AO64)*0.2</f>
        <v>363.7270755555556</v>
      </c>
      <c r="AQ64" s="14">
        <f>SUM(AM64:AP64)</f>
        <v>2182.3624533333336</v>
      </c>
      <c r="AR64" s="16">
        <f t="shared" si="32"/>
        <v>0.9480785780685306</v>
      </c>
      <c r="AU64" s="14">
        <v>0</v>
      </c>
      <c r="AV64" s="15">
        <f t="shared" si="33"/>
        <v>0</v>
      </c>
      <c r="AW64" s="14">
        <v>0</v>
      </c>
      <c r="AX64" s="14">
        <v>0</v>
      </c>
      <c r="AY64" s="14">
        <v>0</v>
      </c>
      <c r="AZ64" s="14">
        <v>0</v>
      </c>
      <c r="BA64" s="14">
        <v>0</v>
      </c>
      <c r="BB64" s="14">
        <f t="shared" si="34"/>
        <v>0</v>
      </c>
      <c r="BC64" s="16">
        <f t="shared" si="35"/>
        <v>0</v>
      </c>
    </row>
    <row r="65" spans="1:55" ht="12.75">
      <c r="A65" s="13">
        <v>4.6</v>
      </c>
      <c r="B65" s="19" t="s">
        <v>946</v>
      </c>
      <c r="C65" s="14">
        <f t="shared" si="72"/>
        <v>8480</v>
      </c>
      <c r="D65" s="15">
        <f t="shared" si="72"/>
        <v>4.71111111111111</v>
      </c>
      <c r="E65" s="14">
        <f t="shared" si="72"/>
        <v>12</v>
      </c>
      <c r="F65" s="14">
        <f t="shared" si="73"/>
        <v>689.7959333333333</v>
      </c>
      <c r="G65" s="14">
        <f t="shared" si="73"/>
        <v>112.7</v>
      </c>
      <c r="H65" s="14">
        <f t="shared" si="73"/>
        <v>82.670828125</v>
      </c>
      <c r="I65" s="14">
        <f t="shared" si="73"/>
        <v>200.506798319659</v>
      </c>
      <c r="J65" s="14">
        <f>SUM(F65:I65)</f>
        <v>1085.6735597779923</v>
      </c>
      <c r="K65" s="22"/>
      <c r="N65" s="14">
        <v>200</v>
      </c>
      <c r="O65" s="15">
        <f t="shared" si="24"/>
        <v>0.1111111111111111</v>
      </c>
      <c r="P65" s="14">
        <v>0</v>
      </c>
      <c r="Q65" s="14">
        <v>20.157822222222226</v>
      </c>
      <c r="R65" s="14">
        <v>0</v>
      </c>
      <c r="S65" s="14">
        <v>0</v>
      </c>
      <c r="T65" s="14">
        <v>1.007891126129859</v>
      </c>
      <c r="U65" s="14">
        <f>SUM(Q65:T65)</f>
        <v>21.165713348352085</v>
      </c>
      <c r="V65" s="16">
        <f t="shared" si="26"/>
        <v>0.019495467267969784</v>
      </c>
      <c r="Y65" s="14">
        <v>1200</v>
      </c>
      <c r="Z65" s="15">
        <f t="shared" si="27"/>
        <v>0.6666666666666666</v>
      </c>
      <c r="AA65" s="14">
        <v>0</v>
      </c>
      <c r="AB65" s="14">
        <v>107.23255555555555</v>
      </c>
      <c r="AC65" s="14">
        <v>0</v>
      </c>
      <c r="AD65" s="14">
        <v>0</v>
      </c>
      <c r="AE65" s="14">
        <v>10.723255715344514</v>
      </c>
      <c r="AF65" s="14">
        <f>SUM(AB65:AE65)</f>
        <v>117.95581127090006</v>
      </c>
      <c r="AG65" s="16">
        <f t="shared" si="29"/>
        <v>0.10864758583143598</v>
      </c>
      <c r="AJ65" s="14">
        <v>7000</v>
      </c>
      <c r="AK65" s="15">
        <f t="shared" si="30"/>
        <v>3.888888888888889</v>
      </c>
      <c r="AL65" s="14">
        <v>12</v>
      </c>
      <c r="AM65" s="14">
        <v>559.0633333333334</v>
      </c>
      <c r="AN65" s="14">
        <v>112.7</v>
      </c>
      <c r="AO65" s="14">
        <v>82.670828125</v>
      </c>
      <c r="AP65" s="14">
        <v>188.60854036458335</v>
      </c>
      <c r="AQ65" s="14">
        <f>SUM(AM65:AP65)</f>
        <v>943.0427018229168</v>
      </c>
      <c r="AR65" s="16">
        <f t="shared" si="32"/>
        <v>0.8686245449467869</v>
      </c>
      <c r="AU65" s="14">
        <v>80</v>
      </c>
      <c r="AV65" s="15">
        <f t="shared" si="33"/>
        <v>0.044444444444444446</v>
      </c>
      <c r="AW65" s="14">
        <v>0</v>
      </c>
      <c r="AX65" s="14">
        <v>3.342222222222222</v>
      </c>
      <c r="AY65" s="14">
        <v>0</v>
      </c>
      <c r="AZ65" s="14">
        <v>0</v>
      </c>
      <c r="BA65" s="14">
        <v>0.1671111136012607</v>
      </c>
      <c r="BB65" s="14">
        <f t="shared" si="34"/>
        <v>3.5093333358234826</v>
      </c>
      <c r="BC65" s="16">
        <f t="shared" si="35"/>
        <v>0.0032324019538074603</v>
      </c>
    </row>
    <row r="66" spans="1:56" ht="12.75">
      <c r="A66" s="8">
        <v>5</v>
      </c>
      <c r="B66" s="9" t="s">
        <v>947</v>
      </c>
      <c r="C66" s="25"/>
      <c r="D66" s="25"/>
      <c r="E66" s="25"/>
      <c r="F66" s="25"/>
      <c r="G66" s="25"/>
      <c r="H66" s="25"/>
      <c r="I66" s="25"/>
      <c r="J66" s="25"/>
      <c r="K66" s="11">
        <f>L66/L$108</f>
        <v>0.27762544066775824</v>
      </c>
      <c r="L66" s="12">
        <f>SUM(J67:J72)</f>
        <v>11130.886583604823</v>
      </c>
      <c r="N66" s="25"/>
      <c r="O66" s="25"/>
      <c r="P66" s="25"/>
      <c r="Q66" s="25"/>
      <c r="R66" s="25"/>
      <c r="S66" s="25"/>
      <c r="T66" s="25"/>
      <c r="U66" s="25"/>
      <c r="V66" s="25"/>
      <c r="W66" s="12">
        <f>SUM(U67:U72)</f>
        <v>339.2498193963765</v>
      </c>
      <c r="Y66" s="25"/>
      <c r="Z66" s="25"/>
      <c r="AA66" s="25"/>
      <c r="AB66" s="25"/>
      <c r="AC66" s="25"/>
      <c r="AD66" s="25"/>
      <c r="AE66" s="25"/>
      <c r="AF66" s="25"/>
      <c r="AG66" s="25"/>
      <c r="AH66" s="12">
        <f>SUM(AF67:AF72)</f>
        <v>2421.112639588704</v>
      </c>
      <c r="AJ66" s="25"/>
      <c r="AK66" s="25"/>
      <c r="AL66" s="25"/>
      <c r="AM66" s="25"/>
      <c r="AN66" s="25"/>
      <c r="AO66" s="25"/>
      <c r="AP66" s="25"/>
      <c r="AQ66" s="25"/>
      <c r="AR66" s="25"/>
      <c r="AS66" s="12">
        <f>SUM(AQ67:AQ72)</f>
        <v>8203.491197953077</v>
      </c>
      <c r="AU66" s="25"/>
      <c r="AV66" s="25"/>
      <c r="AW66" s="25"/>
      <c r="AX66" s="25"/>
      <c r="AY66" s="25"/>
      <c r="AZ66" s="25"/>
      <c r="BA66" s="25"/>
      <c r="BB66" s="25"/>
      <c r="BC66" s="25"/>
      <c r="BD66" s="12">
        <f>SUM(BB67:BB72)</f>
        <v>167.03292666666667</v>
      </c>
    </row>
    <row r="67" spans="1:55" ht="12.75">
      <c r="A67" s="13">
        <v>5.1</v>
      </c>
      <c r="B67" s="19" t="s">
        <v>948</v>
      </c>
      <c r="C67" s="14">
        <f aca="true" t="shared" si="74" ref="C67:E72">SUM(N67,Y67,AJ67,AU67)</f>
        <v>1224</v>
      </c>
      <c r="D67" s="15">
        <f t="shared" si="74"/>
        <v>0.6799999999999999</v>
      </c>
      <c r="E67" s="14">
        <f t="shared" si="74"/>
        <v>0</v>
      </c>
      <c r="F67" s="14">
        <f aca="true" t="shared" si="75" ref="F67:F72">SUM(Q67,AB67,AM67,AX67)</f>
        <v>81.45215555555555</v>
      </c>
      <c r="G67" s="14">
        <f aca="true" t="shared" si="76" ref="G67:G72">SUM(R67,AC67,AN67,AY67)</f>
        <v>51.47</v>
      </c>
      <c r="H67" s="14">
        <f aca="true" t="shared" si="77" ref="H67:H72">SUM(S67,AD67,AO67,AZ67)</f>
        <v>0</v>
      </c>
      <c r="I67" s="14">
        <f aca="true" t="shared" si="78" ref="I67:I72">SUM(T67,AE67,AP67,BA67)</f>
        <v>29.242874063766664</v>
      </c>
      <c r="J67" s="14">
        <f aca="true" t="shared" si="79" ref="J67:J72">SUM(F67:I67)</f>
        <v>162.1650296193222</v>
      </c>
      <c r="K67" s="22"/>
      <c r="N67" s="14">
        <v>160</v>
      </c>
      <c r="O67" s="15">
        <f t="shared" si="24"/>
        <v>0.08888888888888889</v>
      </c>
      <c r="P67" s="14">
        <v>0</v>
      </c>
      <c r="Q67" s="14">
        <v>11.6309</v>
      </c>
      <c r="R67" s="14">
        <v>0</v>
      </c>
      <c r="S67" s="14">
        <v>0</v>
      </c>
      <c r="T67" s="14">
        <v>2.558797986134887</v>
      </c>
      <c r="U67" s="14">
        <f aca="true" t="shared" si="80" ref="U67:U72">SUM(Q67:T67)</f>
        <v>14.189697986134888</v>
      </c>
      <c r="V67" s="16">
        <f t="shared" si="26"/>
        <v>0.08750159032095144</v>
      </c>
      <c r="Y67" s="14">
        <v>544</v>
      </c>
      <c r="Z67" s="15">
        <f t="shared" si="27"/>
        <v>0.3022222222222222</v>
      </c>
      <c r="AA67" s="14">
        <v>0</v>
      </c>
      <c r="AB67" s="14">
        <v>39.436477777777775</v>
      </c>
      <c r="AC67" s="14">
        <v>0</v>
      </c>
      <c r="AD67" s="14">
        <v>0</v>
      </c>
      <c r="AE67" s="14">
        <v>8.676025064099166</v>
      </c>
      <c r="AF67" s="14">
        <f aca="true" t="shared" si="81" ref="AF67:AF72">SUM(AB67:AE67)</f>
        <v>48.11250284187694</v>
      </c>
      <c r="AG67" s="16">
        <f t="shared" si="29"/>
        <v>0.29668852128488904</v>
      </c>
      <c r="AJ67" s="14">
        <v>520</v>
      </c>
      <c r="AK67" s="15">
        <f t="shared" si="30"/>
        <v>0.28888888888888886</v>
      </c>
      <c r="AL67" s="14">
        <v>0</v>
      </c>
      <c r="AM67" s="14">
        <v>30.384777777777778</v>
      </c>
      <c r="AN67" s="14">
        <v>51.47</v>
      </c>
      <c r="AO67" s="14">
        <v>0</v>
      </c>
      <c r="AP67" s="14">
        <v>18.00805101353261</v>
      </c>
      <c r="AQ67" s="14">
        <f aca="true" t="shared" si="82" ref="AQ67:AQ72">SUM(AM67:AP67)</f>
        <v>99.86282879131038</v>
      </c>
      <c r="AR67" s="16">
        <f t="shared" si="32"/>
        <v>0.6158098883941595</v>
      </c>
      <c r="AU67" s="14">
        <v>0</v>
      </c>
      <c r="AV67" s="15">
        <f t="shared" si="33"/>
        <v>0</v>
      </c>
      <c r="AW67" s="14">
        <v>0</v>
      </c>
      <c r="AX67" s="14">
        <v>0</v>
      </c>
      <c r="AY67" s="14">
        <v>0</v>
      </c>
      <c r="AZ67" s="14">
        <v>0</v>
      </c>
      <c r="BA67" s="14">
        <v>0</v>
      </c>
      <c r="BB67" s="14">
        <f t="shared" si="34"/>
        <v>0</v>
      </c>
      <c r="BC67" s="16">
        <f t="shared" si="35"/>
        <v>0</v>
      </c>
    </row>
    <row r="68" spans="1:55" ht="12.75">
      <c r="A68" s="13">
        <v>5.2</v>
      </c>
      <c r="B68" s="13" t="s">
        <v>949</v>
      </c>
      <c r="C68" s="14">
        <f t="shared" si="74"/>
        <v>1914</v>
      </c>
      <c r="D68" s="15">
        <f t="shared" si="74"/>
        <v>1.0633333333333332</v>
      </c>
      <c r="E68" s="14">
        <f t="shared" si="74"/>
        <v>20.666666666666664</v>
      </c>
      <c r="F68" s="14">
        <f t="shared" si="75"/>
        <v>185.41010133333336</v>
      </c>
      <c r="G68" s="14">
        <f t="shared" si="76"/>
        <v>5716.6167553333335</v>
      </c>
      <c r="H68" s="14">
        <f t="shared" si="77"/>
        <v>77.94919303385417</v>
      </c>
      <c r="I68" s="14">
        <f t="shared" si="78"/>
        <v>1773.7982566019966</v>
      </c>
      <c r="J68" s="14">
        <f t="shared" si="79"/>
        <v>7753.774306302517</v>
      </c>
      <c r="K68" s="22"/>
      <c r="N68" s="233">
        <f>820*0.7</f>
        <v>574</v>
      </c>
      <c r="O68" s="15">
        <f t="shared" si="24"/>
        <v>0.3188888888888889</v>
      </c>
      <c r="P68" s="14">
        <v>4</v>
      </c>
      <c r="Q68" s="233">
        <f>85.8858511111111*0.7</f>
        <v>60.12009577777776</v>
      </c>
      <c r="R68" s="233">
        <f>85.8858511111111*0.3</f>
        <v>25.765755333333328</v>
      </c>
      <c r="S68" s="14">
        <v>15.0869404296875</v>
      </c>
      <c r="T68" s="14">
        <f>SUM(Q68:S68)*0.1</f>
        <v>10.09727915407986</v>
      </c>
      <c r="U68" s="14">
        <f t="shared" si="80"/>
        <v>111.07007069487845</v>
      </c>
      <c r="V68" s="16">
        <f t="shared" si="26"/>
        <v>0.014324645818565691</v>
      </c>
      <c r="Y68" s="233">
        <f>998/2</f>
        <v>499</v>
      </c>
      <c r="Z68" s="15">
        <f t="shared" si="27"/>
        <v>0.2772222222222222</v>
      </c>
      <c r="AA68" s="233">
        <f>6*2/3</f>
        <v>4</v>
      </c>
      <c r="AB68" s="233">
        <f>97.6384688888889/2</f>
        <v>48.81923444444445</v>
      </c>
      <c r="AC68" s="234">
        <f>1438.124</f>
        <v>1438.124</v>
      </c>
      <c r="AD68" s="233">
        <f>22.63041015625*2/3</f>
        <v>15.086940104166667</v>
      </c>
      <c r="AE68" s="233">
        <f>SUM(AB68:AD68)*(0.17+0.13)</f>
        <v>450.60905236458336</v>
      </c>
      <c r="AF68" s="14">
        <f t="shared" si="81"/>
        <v>1952.6392269131943</v>
      </c>
      <c r="AG68" s="16">
        <f t="shared" si="29"/>
        <v>0.25183080520231627</v>
      </c>
      <c r="AJ68" s="233">
        <f>1562/2</f>
        <v>781</v>
      </c>
      <c r="AK68" s="15">
        <f t="shared" si="30"/>
        <v>0.4338888888888889</v>
      </c>
      <c r="AL68" s="233">
        <f>19*2/3</f>
        <v>12.666666666666666</v>
      </c>
      <c r="AM68" s="233">
        <f>137.967808888889/2</f>
        <v>68.9839044444445</v>
      </c>
      <c r="AN68" s="234">
        <f>4131.727</f>
        <v>4131.727</v>
      </c>
      <c r="AO68" s="233">
        <f>71.66296875*2/3</f>
        <v>47.775312500000005</v>
      </c>
      <c r="AP68" s="233">
        <f>SUM(AM68:AO68)*(0.2+0.1)</f>
        <v>1274.5458650833334</v>
      </c>
      <c r="AQ68" s="14">
        <f t="shared" si="82"/>
        <v>5523.0320820277775</v>
      </c>
      <c r="AR68" s="16">
        <f t="shared" si="32"/>
        <v>0.7123024044610737</v>
      </c>
      <c r="AU68" s="14">
        <v>60</v>
      </c>
      <c r="AV68" s="15">
        <f t="shared" si="33"/>
        <v>0.03333333333333333</v>
      </c>
      <c r="AW68" s="14">
        <v>0</v>
      </c>
      <c r="AX68" s="14">
        <v>7.486866666666667</v>
      </c>
      <c r="AY68" s="14">
        <v>121</v>
      </c>
      <c r="AZ68" s="14">
        <v>0</v>
      </c>
      <c r="BA68" s="233">
        <f>SUM(AX68:AZ68)*(0.13+0.17)</f>
        <v>38.546060000000004</v>
      </c>
      <c r="BB68" s="14">
        <f t="shared" si="34"/>
        <v>167.03292666666667</v>
      </c>
      <c r="BC68" s="16">
        <f t="shared" si="35"/>
        <v>0.02154214451804419</v>
      </c>
    </row>
    <row r="69" spans="1:55" ht="12.75">
      <c r="A69" s="13">
        <v>5.3</v>
      </c>
      <c r="B69" s="19" t="s">
        <v>950</v>
      </c>
      <c r="C69" s="14">
        <f t="shared" si="74"/>
        <v>3900</v>
      </c>
      <c r="D69" s="15">
        <f t="shared" si="74"/>
        <v>2.166666666666667</v>
      </c>
      <c r="E69" s="14">
        <f t="shared" si="74"/>
        <v>2</v>
      </c>
      <c r="F69" s="14">
        <f t="shared" si="75"/>
        <v>266.07079999999996</v>
      </c>
      <c r="G69" s="14">
        <f t="shared" si="76"/>
        <v>1194.46</v>
      </c>
      <c r="H69" s="14">
        <f t="shared" si="77"/>
        <v>7.34347021484375</v>
      </c>
      <c r="I69" s="14">
        <f t="shared" si="78"/>
        <v>469.71976526082807</v>
      </c>
      <c r="J69" s="14">
        <f t="shared" si="79"/>
        <v>1937.594035475672</v>
      </c>
      <c r="K69" s="22"/>
      <c r="N69" s="14">
        <v>856</v>
      </c>
      <c r="O69" s="15">
        <f t="shared" si="24"/>
        <v>0.47555555555555556</v>
      </c>
      <c r="P69" s="14">
        <v>0</v>
      </c>
      <c r="Q69" s="14">
        <v>60.66639555555556</v>
      </c>
      <c r="R69" s="14">
        <v>20</v>
      </c>
      <c r="S69" s="14">
        <v>0</v>
      </c>
      <c r="T69" s="14">
        <v>25.813246000806757</v>
      </c>
      <c r="U69" s="14">
        <f t="shared" si="80"/>
        <v>106.47964155636232</v>
      </c>
      <c r="V69" s="16">
        <f t="shared" si="26"/>
        <v>0.05495456716258005</v>
      </c>
      <c r="Y69" s="14">
        <v>1220</v>
      </c>
      <c r="Z69" s="15">
        <f t="shared" si="27"/>
        <v>0.6777777777777778</v>
      </c>
      <c r="AA69" s="14">
        <v>0</v>
      </c>
      <c r="AB69" s="14">
        <v>88.21333333333332</v>
      </c>
      <c r="AC69" s="14">
        <v>0</v>
      </c>
      <c r="AD69" s="14">
        <v>0</v>
      </c>
      <c r="AE69" s="14">
        <v>28.228266035715738</v>
      </c>
      <c r="AF69" s="14">
        <f t="shared" si="81"/>
        <v>116.44159936904906</v>
      </c>
      <c r="AG69" s="16">
        <f t="shared" si="29"/>
        <v>0.06009597327257621</v>
      </c>
      <c r="AJ69" s="14">
        <v>1824</v>
      </c>
      <c r="AK69" s="15">
        <f t="shared" si="30"/>
        <v>1.0133333333333334</v>
      </c>
      <c r="AL69" s="14">
        <v>2</v>
      </c>
      <c r="AM69" s="14">
        <v>117.19107111111111</v>
      </c>
      <c r="AN69" s="233">
        <f>1320.46+(790-700)-9*5-2*(20+20+4+2)-7*2*(20-14)-(75-60)</f>
        <v>1174.46</v>
      </c>
      <c r="AO69" s="14">
        <v>7.34347021484375</v>
      </c>
      <c r="AP69" s="233">
        <f>SUM(AM69:AO69)*(0.32)</f>
        <v>415.6782532243056</v>
      </c>
      <c r="AQ69" s="14">
        <f t="shared" si="82"/>
        <v>1714.6727945502605</v>
      </c>
      <c r="AR69" s="16">
        <f t="shared" si="32"/>
        <v>0.8849494595648437</v>
      </c>
      <c r="AU69" s="14">
        <v>0</v>
      </c>
      <c r="AV69" s="15">
        <f t="shared" si="33"/>
        <v>0</v>
      </c>
      <c r="AW69" s="14">
        <v>0</v>
      </c>
      <c r="AX69" s="14">
        <v>0</v>
      </c>
      <c r="AY69" s="14">
        <v>0</v>
      </c>
      <c r="AZ69" s="14">
        <v>0</v>
      </c>
      <c r="BA69" s="14">
        <v>0</v>
      </c>
      <c r="BB69" s="14">
        <f t="shared" si="34"/>
        <v>0</v>
      </c>
      <c r="BC69" s="16">
        <f t="shared" si="35"/>
        <v>0</v>
      </c>
    </row>
    <row r="70" spans="1:55" ht="12.75">
      <c r="A70" s="13">
        <v>5.4</v>
      </c>
      <c r="B70" s="19" t="s">
        <v>951</v>
      </c>
      <c r="C70" s="14">
        <f t="shared" si="74"/>
        <v>1812</v>
      </c>
      <c r="D70" s="15">
        <f t="shared" si="74"/>
        <v>1.0066666666666668</v>
      </c>
      <c r="E70" s="14">
        <f t="shared" si="74"/>
        <v>0</v>
      </c>
      <c r="F70" s="14">
        <f t="shared" si="75"/>
        <v>133.29594666666665</v>
      </c>
      <c r="G70" s="14">
        <f t="shared" si="76"/>
        <v>36.05</v>
      </c>
      <c r="H70" s="14">
        <f t="shared" si="77"/>
        <v>0</v>
      </c>
      <c r="I70" s="14">
        <f t="shared" si="78"/>
        <v>27.095350861038366</v>
      </c>
      <c r="J70" s="14">
        <f t="shared" si="79"/>
        <v>196.441297527705</v>
      </c>
      <c r="K70" s="22"/>
      <c r="N70" s="14">
        <v>170</v>
      </c>
      <c r="O70" s="15">
        <f t="shared" si="24"/>
        <v>0.09444444444444444</v>
      </c>
      <c r="P70" s="14">
        <v>0</v>
      </c>
      <c r="Q70" s="14">
        <v>13.106611111111109</v>
      </c>
      <c r="R70" s="14">
        <v>0</v>
      </c>
      <c r="S70" s="14">
        <v>0</v>
      </c>
      <c r="T70" s="14">
        <v>2.0970577309048837</v>
      </c>
      <c r="U70" s="14">
        <f t="shared" si="80"/>
        <v>15.203668842015993</v>
      </c>
      <c r="V70" s="16">
        <f t="shared" si="26"/>
        <v>0.07739548166989557</v>
      </c>
      <c r="Y70" s="14">
        <v>647</v>
      </c>
      <c r="Z70" s="15">
        <f t="shared" si="27"/>
        <v>0.35944444444444446</v>
      </c>
      <c r="AA70" s="14">
        <v>0</v>
      </c>
      <c r="AB70" s="14">
        <v>49.443685555555554</v>
      </c>
      <c r="AC70" s="14">
        <v>0</v>
      </c>
      <c r="AD70" s="14">
        <v>0</v>
      </c>
      <c r="AE70" s="14">
        <v>7.910989512064489</v>
      </c>
      <c r="AF70" s="14">
        <f t="shared" si="81"/>
        <v>57.35467506762004</v>
      </c>
      <c r="AG70" s="16">
        <f t="shared" si="29"/>
        <v>0.2919685208225173</v>
      </c>
      <c r="AJ70" s="14">
        <v>995</v>
      </c>
      <c r="AK70" s="15">
        <f t="shared" si="30"/>
        <v>0.5527777777777778</v>
      </c>
      <c r="AL70" s="14">
        <v>0</v>
      </c>
      <c r="AM70" s="14">
        <v>70.74565</v>
      </c>
      <c r="AN70" s="14">
        <v>36.05</v>
      </c>
      <c r="AO70" s="14">
        <v>0</v>
      </c>
      <c r="AP70" s="14">
        <v>17.087303618068994</v>
      </c>
      <c r="AQ70" s="14">
        <f t="shared" si="82"/>
        <v>123.882953618069</v>
      </c>
      <c r="AR70" s="16">
        <f t="shared" si="32"/>
        <v>0.6306359975075874</v>
      </c>
      <c r="AU70" s="14">
        <v>0</v>
      </c>
      <c r="AV70" s="15">
        <f t="shared" si="33"/>
        <v>0</v>
      </c>
      <c r="AW70" s="14">
        <v>0</v>
      </c>
      <c r="AX70" s="14">
        <v>0</v>
      </c>
      <c r="AY70" s="14">
        <v>0</v>
      </c>
      <c r="AZ70" s="14">
        <v>0</v>
      </c>
      <c r="BA70" s="14">
        <v>0</v>
      </c>
      <c r="BB70" s="14">
        <f t="shared" si="34"/>
        <v>0</v>
      </c>
      <c r="BC70" s="16">
        <f t="shared" si="35"/>
        <v>0</v>
      </c>
    </row>
    <row r="71" spans="1:55" ht="12.75">
      <c r="A71" s="13">
        <v>5.5</v>
      </c>
      <c r="B71" s="19" t="s">
        <v>952</v>
      </c>
      <c r="C71" s="14">
        <f t="shared" si="74"/>
        <v>8105</v>
      </c>
      <c r="D71" s="15">
        <f t="shared" si="74"/>
        <v>4.502777777777777</v>
      </c>
      <c r="E71" s="14">
        <f t="shared" si="74"/>
        <v>0</v>
      </c>
      <c r="F71" s="14">
        <f t="shared" si="75"/>
        <v>543.2380833333334</v>
      </c>
      <c r="G71" s="14">
        <f t="shared" si="76"/>
        <v>126.39439</v>
      </c>
      <c r="H71" s="14">
        <f t="shared" si="77"/>
        <v>0</v>
      </c>
      <c r="I71" s="14">
        <f t="shared" si="78"/>
        <v>107.141193338541</v>
      </c>
      <c r="J71" s="14">
        <f t="shared" si="79"/>
        <v>776.7736666718745</v>
      </c>
      <c r="K71" s="22"/>
      <c r="N71" s="14">
        <v>910</v>
      </c>
      <c r="O71" s="15">
        <f t="shared" si="24"/>
        <v>0.5055555555555555</v>
      </c>
      <c r="P71" s="14">
        <v>0</v>
      </c>
      <c r="Q71" s="14">
        <v>75.25012222222222</v>
      </c>
      <c r="R71" s="14">
        <v>0</v>
      </c>
      <c r="S71" s="14">
        <v>0</v>
      </c>
      <c r="T71" s="14">
        <v>12.040019286440145</v>
      </c>
      <c r="U71" s="14">
        <f t="shared" si="80"/>
        <v>87.29014150866236</v>
      </c>
      <c r="V71" s="16">
        <f t="shared" si="26"/>
        <v>0.11237525839754754</v>
      </c>
      <c r="Y71" s="14">
        <v>2610</v>
      </c>
      <c r="Z71" s="15">
        <f t="shared" si="27"/>
        <v>1.45</v>
      </c>
      <c r="AA71" s="14">
        <v>0</v>
      </c>
      <c r="AB71" s="14">
        <v>208.23106666666666</v>
      </c>
      <c r="AC71" s="14">
        <v>0</v>
      </c>
      <c r="AD71" s="14">
        <v>0</v>
      </c>
      <c r="AE71" s="14">
        <v>33.31696992197434</v>
      </c>
      <c r="AF71" s="14">
        <f t="shared" si="81"/>
        <v>241.548036588641</v>
      </c>
      <c r="AG71" s="16">
        <f t="shared" si="29"/>
        <v>0.3109632148365245</v>
      </c>
      <c r="AJ71" s="14">
        <v>4585</v>
      </c>
      <c r="AK71" s="15">
        <f t="shared" si="30"/>
        <v>2.547222222222222</v>
      </c>
      <c r="AL71" s="14">
        <v>0</v>
      </c>
      <c r="AM71" s="14">
        <v>259.75689444444447</v>
      </c>
      <c r="AN71" s="14">
        <v>126.39439</v>
      </c>
      <c r="AO71" s="14">
        <v>0</v>
      </c>
      <c r="AP71" s="14">
        <v>61.784204130126504</v>
      </c>
      <c r="AQ71" s="14">
        <f t="shared" si="82"/>
        <v>447.93548857457097</v>
      </c>
      <c r="AR71" s="16">
        <f t="shared" si="32"/>
        <v>0.5766615267659277</v>
      </c>
      <c r="AU71" s="14">
        <v>0</v>
      </c>
      <c r="AV71" s="15">
        <f t="shared" si="33"/>
        <v>0</v>
      </c>
      <c r="AW71" s="14">
        <v>0</v>
      </c>
      <c r="AX71" s="14">
        <v>0</v>
      </c>
      <c r="AY71" s="14">
        <v>0</v>
      </c>
      <c r="AZ71" s="14">
        <v>0</v>
      </c>
      <c r="BA71" s="14">
        <v>0</v>
      </c>
      <c r="BB71" s="14">
        <f t="shared" si="34"/>
        <v>0</v>
      </c>
      <c r="BC71" s="16">
        <f t="shared" si="35"/>
        <v>0</v>
      </c>
    </row>
    <row r="72" spans="1:55" ht="12.75">
      <c r="A72" s="13">
        <v>5.6</v>
      </c>
      <c r="B72" s="19" t="s">
        <v>953</v>
      </c>
      <c r="C72" s="14">
        <f t="shared" si="74"/>
        <v>2726</v>
      </c>
      <c r="D72" s="15">
        <f t="shared" si="74"/>
        <v>1.5144444444444443</v>
      </c>
      <c r="E72" s="14">
        <f t="shared" si="74"/>
        <v>0</v>
      </c>
      <c r="F72" s="14">
        <f t="shared" si="75"/>
        <v>168.3969528437844</v>
      </c>
      <c r="G72" s="14">
        <f t="shared" si="76"/>
        <v>52.099999999999994</v>
      </c>
      <c r="H72" s="14">
        <f t="shared" si="77"/>
        <v>0</v>
      </c>
      <c r="I72" s="14">
        <f t="shared" si="78"/>
        <v>83.64129516394969</v>
      </c>
      <c r="J72" s="14">
        <f t="shared" si="79"/>
        <v>304.1382480077341</v>
      </c>
      <c r="K72" s="22"/>
      <c r="N72" s="14">
        <v>48</v>
      </c>
      <c r="O72" s="15">
        <f t="shared" si="24"/>
        <v>0.02666666666666667</v>
      </c>
      <c r="P72" s="14">
        <v>0</v>
      </c>
      <c r="Q72" s="14">
        <v>3.6886755555555557</v>
      </c>
      <c r="R72" s="14">
        <v>0</v>
      </c>
      <c r="S72" s="14">
        <v>0</v>
      </c>
      <c r="T72" s="14">
        <v>1.3279232527669271</v>
      </c>
      <c r="U72" s="14">
        <f t="shared" si="80"/>
        <v>5.016598808322483</v>
      </c>
      <c r="V72" s="16">
        <f t="shared" si="26"/>
        <v>0.0164944686871311</v>
      </c>
      <c r="Y72" s="14">
        <v>48</v>
      </c>
      <c r="Z72" s="15">
        <f t="shared" si="27"/>
        <v>0.02666666666666667</v>
      </c>
      <c r="AA72" s="14">
        <v>0</v>
      </c>
      <c r="AB72" s="14">
        <v>3.6886755555555557</v>
      </c>
      <c r="AC72" s="14">
        <v>0</v>
      </c>
      <c r="AD72" s="14">
        <v>0</v>
      </c>
      <c r="AE72" s="14">
        <v>1.3279232527669271</v>
      </c>
      <c r="AF72" s="14">
        <f t="shared" si="81"/>
        <v>5.016598808322483</v>
      </c>
      <c r="AG72" s="16">
        <f t="shared" si="29"/>
        <v>0.0164944686871311</v>
      </c>
      <c r="AJ72" s="233">
        <f>3030-400</f>
        <v>2630</v>
      </c>
      <c r="AK72" s="15">
        <f t="shared" si="30"/>
        <v>1.461111111111111</v>
      </c>
      <c r="AL72" s="14">
        <v>0</v>
      </c>
      <c r="AM72" s="233">
        <f>185.509275*(3030-400)/3030</f>
        <v>161.01960173267327</v>
      </c>
      <c r="AN72" s="233">
        <f>72.1-20</f>
        <v>52.099999999999994</v>
      </c>
      <c r="AO72" s="14">
        <v>0</v>
      </c>
      <c r="AP72" s="233">
        <f>SUM(AM72:AO72)*0.38</f>
        <v>80.98544865841583</v>
      </c>
      <c r="AQ72" s="14">
        <f t="shared" si="82"/>
        <v>294.1050503910891</v>
      </c>
      <c r="AR72" s="16">
        <f t="shared" si="32"/>
        <v>0.9670110626257377</v>
      </c>
      <c r="AU72" s="14">
        <v>0</v>
      </c>
      <c r="AV72" s="15">
        <f t="shared" si="33"/>
        <v>0</v>
      </c>
      <c r="AW72" s="14">
        <v>0</v>
      </c>
      <c r="AX72" s="14">
        <v>0</v>
      </c>
      <c r="AY72" s="14">
        <v>0</v>
      </c>
      <c r="AZ72" s="14">
        <v>0</v>
      </c>
      <c r="BA72" s="14">
        <v>0</v>
      </c>
      <c r="BB72" s="14">
        <f t="shared" si="34"/>
        <v>0</v>
      </c>
      <c r="BC72" s="16">
        <f t="shared" si="35"/>
        <v>0</v>
      </c>
    </row>
    <row r="73" spans="1:56" ht="12.75">
      <c r="A73" s="8">
        <v>6</v>
      </c>
      <c r="B73" s="9" t="s">
        <v>954</v>
      </c>
      <c r="C73" s="25"/>
      <c r="D73" s="25"/>
      <c r="E73" s="25"/>
      <c r="F73" s="25"/>
      <c r="G73" s="25"/>
      <c r="H73" s="25"/>
      <c r="I73" s="25"/>
      <c r="J73" s="25"/>
      <c r="K73" s="11">
        <f>L73/L$108</f>
        <v>0.04447966927704145</v>
      </c>
      <c r="L73" s="12">
        <f>SUM(J74:J87)</f>
        <v>1783.331357559185</v>
      </c>
      <c r="N73" s="25"/>
      <c r="O73" s="25"/>
      <c r="P73" s="25"/>
      <c r="Q73" s="25"/>
      <c r="R73" s="25"/>
      <c r="S73" s="25"/>
      <c r="T73" s="25"/>
      <c r="U73" s="25"/>
      <c r="V73" s="25"/>
      <c r="W73" s="12">
        <f>SUM(U74:U87)</f>
        <v>185.41271188754348</v>
      </c>
      <c r="Y73" s="25"/>
      <c r="Z73" s="25"/>
      <c r="AA73" s="25"/>
      <c r="AB73" s="25"/>
      <c r="AC73" s="25"/>
      <c r="AD73" s="25"/>
      <c r="AE73" s="25"/>
      <c r="AF73" s="25"/>
      <c r="AG73" s="25"/>
      <c r="AH73" s="12">
        <f>SUM(AF74:AF87)</f>
        <v>839.4014918437708</v>
      </c>
      <c r="AJ73" s="25"/>
      <c r="AK73" s="25"/>
      <c r="AL73" s="25"/>
      <c r="AM73" s="25"/>
      <c r="AN73" s="25"/>
      <c r="AO73" s="25"/>
      <c r="AP73" s="25"/>
      <c r="AQ73" s="25"/>
      <c r="AR73" s="25"/>
      <c r="AS73" s="12">
        <f>SUM(AQ74:AQ87)</f>
        <v>758.5171538278707</v>
      </c>
      <c r="AU73" s="25"/>
      <c r="AV73" s="25"/>
      <c r="AW73" s="25"/>
      <c r="AX73" s="25"/>
      <c r="AY73" s="25"/>
      <c r="AZ73" s="25"/>
      <c r="BA73" s="25"/>
      <c r="BB73" s="25"/>
      <c r="BC73" s="25"/>
      <c r="BD73" s="12">
        <f>SUM(BB74:BB87)</f>
        <v>0</v>
      </c>
    </row>
    <row r="74" spans="1:55" ht="12.75">
      <c r="A74" s="13">
        <v>6.1</v>
      </c>
      <c r="B74" s="19" t="s">
        <v>955</v>
      </c>
      <c r="K74" s="22"/>
      <c r="V74" s="22" t="s">
        <v>683</v>
      </c>
      <c r="AG74" s="22" t="s">
        <v>683</v>
      </c>
      <c r="AR74" s="22" t="s">
        <v>683</v>
      </c>
      <c r="BC74" s="22" t="s">
        <v>683</v>
      </c>
    </row>
    <row r="75" spans="1:55" ht="12.75">
      <c r="A75" s="23" t="s">
        <v>956</v>
      </c>
      <c r="B75" s="19" t="s">
        <v>957</v>
      </c>
      <c r="C75" s="14">
        <f aca="true" t="shared" si="83" ref="C75:E78">SUM(N75,Y75,AJ75,AU75)</f>
        <v>2120</v>
      </c>
      <c r="D75" s="15">
        <f t="shared" si="83"/>
        <v>1.1777777777777778</v>
      </c>
      <c r="E75" s="14">
        <f t="shared" si="83"/>
        <v>0</v>
      </c>
      <c r="F75" s="14">
        <f aca="true" t="shared" si="84" ref="F75:I78">SUM(Q75,AB75,AM75,AX75)</f>
        <v>182.3846888888889</v>
      </c>
      <c r="G75" s="14">
        <f t="shared" si="84"/>
        <v>0</v>
      </c>
      <c r="H75" s="14">
        <f t="shared" si="84"/>
        <v>0</v>
      </c>
      <c r="I75" s="14">
        <f t="shared" si="84"/>
        <v>23.84197448592484</v>
      </c>
      <c r="J75" s="14">
        <f>SUM(F75:I75)</f>
        <v>206.22666337481374</v>
      </c>
      <c r="K75" s="22"/>
      <c r="N75" s="14">
        <v>180</v>
      </c>
      <c r="O75" s="15">
        <f>N75/1800</f>
        <v>0.1</v>
      </c>
      <c r="P75" s="14">
        <v>0</v>
      </c>
      <c r="Q75" s="14">
        <v>17.662200000000002</v>
      </c>
      <c r="R75" s="14">
        <v>0</v>
      </c>
      <c r="S75" s="14">
        <v>0</v>
      </c>
      <c r="T75" s="14">
        <v>1.9428419894725084</v>
      </c>
      <c r="U75" s="14">
        <f>SUM(Q75:T75)</f>
        <v>19.60504198947251</v>
      </c>
      <c r="V75" s="16">
        <f>U75/$J75</f>
        <v>0.09506550544262385</v>
      </c>
      <c r="Y75" s="14">
        <v>1120</v>
      </c>
      <c r="Z75" s="15">
        <f>Y75/1800</f>
        <v>0.6222222222222222</v>
      </c>
      <c r="AA75" s="14">
        <v>0</v>
      </c>
      <c r="AB75" s="14">
        <v>101.72817777777777</v>
      </c>
      <c r="AC75" s="14">
        <v>0</v>
      </c>
      <c r="AD75" s="14">
        <v>0</v>
      </c>
      <c r="AE75" s="14">
        <v>11.190099494920837</v>
      </c>
      <c r="AF75" s="14">
        <f>SUM(AB75:AE75)</f>
        <v>112.91827727269862</v>
      </c>
      <c r="AG75" s="16">
        <f>AF75/$J75</f>
        <v>0.5475445096421475</v>
      </c>
      <c r="AJ75" s="14">
        <v>820</v>
      </c>
      <c r="AK75" s="15">
        <f>AJ75/1800</f>
        <v>0.45555555555555555</v>
      </c>
      <c r="AL75" s="14">
        <v>0</v>
      </c>
      <c r="AM75" s="14">
        <v>62.99431111111111</v>
      </c>
      <c r="AN75" s="14">
        <v>0</v>
      </c>
      <c r="AO75" s="14">
        <v>0</v>
      </c>
      <c r="AP75" s="14">
        <v>10.709033001531495</v>
      </c>
      <c r="AQ75" s="14">
        <f>SUM(AM75:AP75)</f>
        <v>73.70334411264261</v>
      </c>
      <c r="AR75" s="16">
        <f>AQ75/$J75</f>
        <v>0.3573899849152286</v>
      </c>
      <c r="AU75" s="14">
        <v>0</v>
      </c>
      <c r="AV75" s="15">
        <f>AU75/1800</f>
        <v>0</v>
      </c>
      <c r="AW75" s="14">
        <v>0</v>
      </c>
      <c r="AX75" s="14">
        <v>0</v>
      </c>
      <c r="AY75" s="14">
        <v>0</v>
      </c>
      <c r="AZ75" s="14">
        <v>0</v>
      </c>
      <c r="BA75" s="14">
        <v>0</v>
      </c>
      <c r="BB75" s="14">
        <f>SUM(AX75:BA75)</f>
        <v>0</v>
      </c>
      <c r="BC75" s="16">
        <f>BB75/$J75</f>
        <v>0</v>
      </c>
    </row>
    <row r="76" spans="1:55" ht="12.75">
      <c r="A76" s="23" t="s">
        <v>958</v>
      </c>
      <c r="B76" s="19" t="s">
        <v>959</v>
      </c>
      <c r="C76" s="14">
        <f t="shared" si="83"/>
        <v>936</v>
      </c>
      <c r="D76" s="15">
        <f t="shared" si="83"/>
        <v>0.52</v>
      </c>
      <c r="E76" s="14">
        <f t="shared" si="83"/>
        <v>0</v>
      </c>
      <c r="F76" s="14">
        <f t="shared" si="84"/>
        <v>80.20125333333334</v>
      </c>
      <c r="G76" s="14">
        <f t="shared" si="84"/>
        <v>0</v>
      </c>
      <c r="H76" s="14">
        <f t="shared" si="84"/>
        <v>0</v>
      </c>
      <c r="I76" s="14">
        <f t="shared" si="84"/>
        <v>10.649592694151394</v>
      </c>
      <c r="J76" s="14">
        <f>SUM(F76:I76)</f>
        <v>90.85084602748474</v>
      </c>
      <c r="K76" s="22"/>
      <c r="N76" s="14">
        <v>100</v>
      </c>
      <c r="O76" s="15">
        <f>N76/1800</f>
        <v>0.05555555555555555</v>
      </c>
      <c r="P76" s="14">
        <v>0</v>
      </c>
      <c r="Q76" s="14">
        <v>9.812333333333333</v>
      </c>
      <c r="R76" s="14">
        <v>0</v>
      </c>
      <c r="S76" s="14">
        <v>0</v>
      </c>
      <c r="T76" s="14">
        <v>1.0793566608180605</v>
      </c>
      <c r="U76" s="14">
        <f>SUM(Q76:T76)</f>
        <v>10.891689994151394</v>
      </c>
      <c r="V76" s="16">
        <f>U76/$J76</f>
        <v>0.11988539975573123</v>
      </c>
      <c r="Y76" s="233">
        <f>470*0.95</f>
        <v>446.5</v>
      </c>
      <c r="Z76" s="15">
        <f>Y76/1800</f>
        <v>0.24805555555555556</v>
      </c>
      <c r="AA76" s="14">
        <v>0</v>
      </c>
      <c r="AB76" s="233">
        <f>42.0329888888889*0.95</f>
        <v>39.931339444444454</v>
      </c>
      <c r="AC76" s="14">
        <v>0</v>
      </c>
      <c r="AD76" s="14">
        <v>0</v>
      </c>
      <c r="AE76" s="233">
        <f>SUM(AB76:AD76)*0.11</f>
        <v>4.39244733888889</v>
      </c>
      <c r="AF76" s="14">
        <f>SUM(AB76:AE76)</f>
        <v>44.32378678333335</v>
      </c>
      <c r="AG76" s="16">
        <f>AF76/$J76</f>
        <v>0.48787423256272433</v>
      </c>
      <c r="AJ76" s="233">
        <f>410*0.95</f>
        <v>389.5</v>
      </c>
      <c r="AK76" s="15">
        <f>AJ76/1800</f>
        <v>0.21638888888888888</v>
      </c>
      <c r="AL76" s="14">
        <v>0</v>
      </c>
      <c r="AM76" s="233">
        <f>32.0606111111111*0.95</f>
        <v>30.457580555555545</v>
      </c>
      <c r="AN76" s="14">
        <v>0</v>
      </c>
      <c r="AO76" s="14">
        <v>0</v>
      </c>
      <c r="AP76" s="233">
        <f>SUM(AM76:AO76)*0.17</f>
        <v>5.177788694444443</v>
      </c>
      <c r="AQ76" s="14">
        <f>SUM(AM76:AP76)</f>
        <v>35.63536924999999</v>
      </c>
      <c r="AR76" s="16">
        <f>AQ76/$J76</f>
        <v>0.3922403676815444</v>
      </c>
      <c r="AU76" s="14">
        <v>0</v>
      </c>
      <c r="AV76" s="15">
        <f>AU76/1800</f>
        <v>0</v>
      </c>
      <c r="AW76" s="14">
        <v>0</v>
      </c>
      <c r="AX76" s="14">
        <v>0</v>
      </c>
      <c r="AY76" s="14">
        <v>0</v>
      </c>
      <c r="AZ76" s="14">
        <v>0</v>
      </c>
      <c r="BA76" s="14">
        <v>0</v>
      </c>
      <c r="BB76" s="14">
        <f>SUM(AX76:BA76)</f>
        <v>0</v>
      </c>
      <c r="BC76" s="16">
        <f>BB76/$J76</f>
        <v>0</v>
      </c>
    </row>
    <row r="77" spans="1:55" ht="12.75">
      <c r="A77" s="23" t="s">
        <v>960</v>
      </c>
      <c r="B77" s="19" t="s">
        <v>961</v>
      </c>
      <c r="C77" s="14">
        <f t="shared" si="83"/>
        <v>2406</v>
      </c>
      <c r="D77" s="15">
        <f t="shared" si="83"/>
        <v>1.3366666666666667</v>
      </c>
      <c r="E77" s="14">
        <f t="shared" si="83"/>
        <v>0</v>
      </c>
      <c r="F77" s="14">
        <f t="shared" si="84"/>
        <v>202.61345333333304</v>
      </c>
      <c r="G77" s="14">
        <f t="shared" si="84"/>
        <v>0</v>
      </c>
      <c r="H77" s="14">
        <f t="shared" si="84"/>
        <v>0</v>
      </c>
      <c r="I77" s="14">
        <f t="shared" si="84"/>
        <v>26.380709385963314</v>
      </c>
      <c r="J77" s="14">
        <f>SUM(F77:I77)</f>
        <v>228.99416271929636</v>
      </c>
      <c r="K77" s="22"/>
      <c r="N77" s="14">
        <v>240</v>
      </c>
      <c r="O77" s="15">
        <f>N77/1800</f>
        <v>0.13333333333333333</v>
      </c>
      <c r="P77" s="14">
        <v>0</v>
      </c>
      <c r="Q77" s="14">
        <v>23.549599999999998</v>
      </c>
      <c r="R77" s="14">
        <v>0</v>
      </c>
      <c r="S77" s="14">
        <v>0</v>
      </c>
      <c r="T77" s="14">
        <v>2.5904559859633447</v>
      </c>
      <c r="U77" s="14">
        <f>SUM(Q77:T77)</f>
        <v>26.140055985963343</v>
      </c>
      <c r="V77" s="16">
        <f>U77/$J77</f>
        <v>0.11415162585609713</v>
      </c>
      <c r="Y77" s="233">
        <f>1340*0.95</f>
        <v>1273</v>
      </c>
      <c r="Z77" s="15">
        <f>Y77/1800</f>
        <v>0.7072222222222222</v>
      </c>
      <c r="AA77" s="14">
        <v>0</v>
      </c>
      <c r="AB77" s="233">
        <f>116.677222222222*0.95</f>
        <v>110.8433611111109</v>
      </c>
      <c r="AC77" s="14">
        <v>0</v>
      </c>
      <c r="AD77" s="14">
        <v>0</v>
      </c>
      <c r="AE77" s="233">
        <f>SUM(AB77:AD77)*0.11</f>
        <v>12.192769722222199</v>
      </c>
      <c r="AF77" s="14">
        <f>SUM(AB77:AE77)</f>
        <v>123.03613083333309</v>
      </c>
      <c r="AG77" s="16">
        <f>AF77/$J77</f>
        <v>0.5372893761669907</v>
      </c>
      <c r="AJ77" s="233">
        <f>940*0.95</f>
        <v>893</v>
      </c>
      <c r="AK77" s="15">
        <f>AJ77/1800</f>
        <v>0.4961111111111111</v>
      </c>
      <c r="AL77" s="14">
        <v>0</v>
      </c>
      <c r="AM77" s="233">
        <f>71.8110444444444*0.95</f>
        <v>68.22049222222218</v>
      </c>
      <c r="AN77" s="14">
        <v>0</v>
      </c>
      <c r="AO77" s="14">
        <v>0</v>
      </c>
      <c r="AP77" s="233">
        <f>SUM(AM77:AO77)*0.17</f>
        <v>11.59748367777777</v>
      </c>
      <c r="AQ77" s="14">
        <f>SUM(AM77:AP77)</f>
        <v>79.81797589999995</v>
      </c>
      <c r="AR77" s="16">
        <f>AQ77/$J77</f>
        <v>0.3485589979769123</v>
      </c>
      <c r="AU77" s="14">
        <v>0</v>
      </c>
      <c r="AV77" s="15">
        <f>AU77/1800</f>
        <v>0</v>
      </c>
      <c r="AW77" s="14">
        <v>0</v>
      </c>
      <c r="AX77" s="14">
        <v>0</v>
      </c>
      <c r="AY77" s="14">
        <v>0</v>
      </c>
      <c r="AZ77" s="14">
        <v>0</v>
      </c>
      <c r="BA77" s="14">
        <v>0</v>
      </c>
      <c r="BB77" s="14">
        <f>SUM(AX77:BA77)</f>
        <v>0</v>
      </c>
      <c r="BC77" s="16">
        <f>BB77/$J77</f>
        <v>0</v>
      </c>
    </row>
    <row r="78" spans="1:55" ht="12.75">
      <c r="A78" s="23" t="s">
        <v>962</v>
      </c>
      <c r="B78" s="19" t="s">
        <v>963</v>
      </c>
      <c r="C78" s="14">
        <f t="shared" si="83"/>
        <v>1230</v>
      </c>
      <c r="D78" s="15">
        <f t="shared" si="83"/>
        <v>0.6833333333333333</v>
      </c>
      <c r="E78" s="14">
        <f t="shared" si="83"/>
        <v>0</v>
      </c>
      <c r="F78" s="14">
        <f t="shared" si="84"/>
        <v>105.26736666666667</v>
      </c>
      <c r="G78" s="14">
        <f t="shared" si="84"/>
        <v>0</v>
      </c>
      <c r="H78" s="14">
        <f t="shared" si="84"/>
        <v>0</v>
      </c>
      <c r="I78" s="14">
        <f t="shared" si="84"/>
        <v>17.306712498171628</v>
      </c>
      <c r="J78" s="14">
        <f>SUM(F78:I78)</f>
        <v>122.57407916483831</v>
      </c>
      <c r="K78" s="22"/>
      <c r="N78" s="14">
        <v>100</v>
      </c>
      <c r="O78" s="15">
        <f>N78/1800</f>
        <v>0.05555555555555555</v>
      </c>
      <c r="P78" s="14">
        <v>0</v>
      </c>
      <c r="Q78" s="14">
        <v>9.812333333333333</v>
      </c>
      <c r="R78" s="14">
        <v>0</v>
      </c>
      <c r="S78" s="14">
        <v>0</v>
      </c>
      <c r="T78" s="14">
        <v>1.0793566608180605</v>
      </c>
      <c r="U78" s="14">
        <f>SUM(Q78:T78)</f>
        <v>10.891689994151394</v>
      </c>
      <c r="V78" s="16">
        <f>U78/$J78</f>
        <v>0.08885802013249626</v>
      </c>
      <c r="Y78" s="14">
        <v>600</v>
      </c>
      <c r="Z78" s="15">
        <f>Y78/1800</f>
        <v>0.3333333333333333</v>
      </c>
      <c r="AA78" s="14">
        <v>0</v>
      </c>
      <c r="AB78" s="14">
        <v>54.78902222222222</v>
      </c>
      <c r="AC78" s="14">
        <v>0</v>
      </c>
      <c r="AD78" s="14">
        <v>0</v>
      </c>
      <c r="AE78" s="14">
        <v>9.314133875748185</v>
      </c>
      <c r="AF78" s="14">
        <f>SUM(AB78:AE78)</f>
        <v>64.10315609797041</v>
      </c>
      <c r="AG78" s="16">
        <f>AF78/$J78</f>
        <v>0.5229748127396832</v>
      </c>
      <c r="AJ78" s="14">
        <v>530</v>
      </c>
      <c r="AK78" s="15">
        <f>AJ78/1800</f>
        <v>0.29444444444444445</v>
      </c>
      <c r="AL78" s="14">
        <v>0</v>
      </c>
      <c r="AM78" s="14">
        <v>40.66601111111111</v>
      </c>
      <c r="AN78" s="14">
        <v>0</v>
      </c>
      <c r="AO78" s="14">
        <v>0</v>
      </c>
      <c r="AP78" s="14">
        <v>6.913221961605384</v>
      </c>
      <c r="AQ78" s="14">
        <f>SUM(AM78:AP78)</f>
        <v>47.57923307271649</v>
      </c>
      <c r="AR78" s="16">
        <f>AQ78/$J78</f>
        <v>0.3881671671278205</v>
      </c>
      <c r="AU78" s="14">
        <v>0</v>
      </c>
      <c r="AV78" s="15">
        <f>AU78/1800</f>
        <v>0</v>
      </c>
      <c r="AW78" s="14">
        <v>0</v>
      </c>
      <c r="AX78" s="14">
        <v>0</v>
      </c>
      <c r="AY78" s="14">
        <v>0</v>
      </c>
      <c r="AZ78" s="14">
        <v>0</v>
      </c>
      <c r="BA78" s="14">
        <v>0</v>
      </c>
      <c r="BB78" s="14">
        <f>SUM(AX78:BA78)</f>
        <v>0</v>
      </c>
      <c r="BC78" s="16">
        <f>BB78/$J78</f>
        <v>0</v>
      </c>
    </row>
    <row r="79" spans="1:55" ht="12.75">
      <c r="A79" s="23">
        <v>6.2</v>
      </c>
      <c r="B79" s="19" t="s">
        <v>964</v>
      </c>
      <c r="K79" s="22"/>
      <c r="V79" s="22" t="s">
        <v>683</v>
      </c>
      <c r="AG79" s="22" t="s">
        <v>683</v>
      </c>
      <c r="AR79" s="22" t="s">
        <v>683</v>
      </c>
      <c r="BC79" s="22" t="s">
        <v>683</v>
      </c>
    </row>
    <row r="80" spans="1:55" ht="12.75">
      <c r="A80" s="23" t="s">
        <v>965</v>
      </c>
      <c r="B80" s="19" t="s">
        <v>966</v>
      </c>
      <c r="C80" s="14">
        <f aca="true" t="shared" si="85" ref="C80:I82">SUM(N80,Y80,AJ80,AU80)</f>
        <v>1110</v>
      </c>
      <c r="D80" s="15">
        <f t="shared" si="85"/>
        <v>0.6166666666666666</v>
      </c>
      <c r="E80" s="14">
        <f t="shared" si="85"/>
        <v>0</v>
      </c>
      <c r="F80" s="14">
        <f t="shared" si="85"/>
        <v>96.55630000000001</v>
      </c>
      <c r="G80" s="14">
        <f t="shared" si="85"/>
        <v>0</v>
      </c>
      <c r="H80" s="14">
        <f t="shared" si="85"/>
        <v>0</v>
      </c>
      <c r="I80" s="14">
        <f t="shared" si="85"/>
        <v>10.60736408816543</v>
      </c>
      <c r="J80" s="14">
        <f>SUM(F80:I80)</f>
        <v>107.16366408816543</v>
      </c>
      <c r="K80" s="22"/>
      <c r="N80" s="14">
        <v>180</v>
      </c>
      <c r="O80" s="15">
        <f>N80/1800</f>
        <v>0.1</v>
      </c>
      <c r="P80" s="14">
        <v>0</v>
      </c>
      <c r="Q80" s="14">
        <v>17.662200000000002</v>
      </c>
      <c r="R80" s="14">
        <v>0</v>
      </c>
      <c r="S80" s="14">
        <v>0</v>
      </c>
      <c r="T80" s="14">
        <v>1.5895980631649496</v>
      </c>
      <c r="U80" s="14">
        <f>SUM(Q80:T80)</f>
        <v>19.25179806316495</v>
      </c>
      <c r="V80" s="16">
        <f>U80/$J80</f>
        <v>0.1796485611701944</v>
      </c>
      <c r="Y80" s="14">
        <v>520</v>
      </c>
      <c r="Z80" s="15">
        <f>Y80/1800</f>
        <v>0.28888888888888886</v>
      </c>
      <c r="AA80" s="14">
        <v>0</v>
      </c>
      <c r="AB80" s="14">
        <v>46.93915555555555</v>
      </c>
      <c r="AC80" s="14">
        <v>0</v>
      </c>
      <c r="AD80" s="14">
        <v>0</v>
      </c>
      <c r="AE80" s="14">
        <v>4.224524167867501</v>
      </c>
      <c r="AF80" s="14">
        <f>SUM(AB80:AE80)</f>
        <v>51.16367972342305</v>
      </c>
      <c r="AG80" s="16">
        <f>AF80/$J80</f>
        <v>0.47743496042958916</v>
      </c>
      <c r="AJ80" s="14">
        <v>410</v>
      </c>
      <c r="AK80" s="15">
        <f>AJ80/1800</f>
        <v>0.22777777777777777</v>
      </c>
      <c r="AL80" s="14">
        <v>0</v>
      </c>
      <c r="AM80" s="14">
        <v>31.954944444444447</v>
      </c>
      <c r="AN80" s="14">
        <v>0</v>
      </c>
      <c r="AO80" s="14">
        <v>0</v>
      </c>
      <c r="AP80" s="14">
        <v>4.793241857132978</v>
      </c>
      <c r="AQ80" s="14">
        <f>SUM(AM80:AP80)</f>
        <v>36.74818630157743</v>
      </c>
      <c r="AR80" s="16">
        <f>AQ80/$J80</f>
        <v>0.3429164784002164</v>
      </c>
      <c r="AU80" s="14">
        <v>0</v>
      </c>
      <c r="AV80" s="15">
        <f>AU80/1800</f>
        <v>0</v>
      </c>
      <c r="AW80" s="14">
        <v>0</v>
      </c>
      <c r="AX80" s="14">
        <v>0</v>
      </c>
      <c r="AY80" s="14">
        <v>0</v>
      </c>
      <c r="AZ80" s="14">
        <v>0</v>
      </c>
      <c r="BA80" s="14">
        <v>0</v>
      </c>
      <c r="BB80" s="14">
        <f>SUM(AX80:BA80)</f>
        <v>0</v>
      </c>
      <c r="BC80" s="16">
        <f>BB80/$J80</f>
        <v>0</v>
      </c>
    </row>
    <row r="81" spans="1:55" ht="12.75">
      <c r="A81" s="23" t="s">
        <v>967</v>
      </c>
      <c r="B81" s="19" t="s">
        <v>968</v>
      </c>
      <c r="C81" s="14">
        <f t="shared" si="85"/>
        <v>716.5</v>
      </c>
      <c r="D81" s="15">
        <f t="shared" si="85"/>
        <v>0.3980555555555556</v>
      </c>
      <c r="E81" s="14">
        <f t="shared" si="85"/>
        <v>0</v>
      </c>
      <c r="F81" s="14">
        <f t="shared" si="85"/>
        <v>61.57372833333329</v>
      </c>
      <c r="G81" s="14">
        <f t="shared" si="85"/>
        <v>0</v>
      </c>
      <c r="H81" s="14">
        <f t="shared" si="85"/>
        <v>0</v>
      </c>
      <c r="I81" s="14">
        <f t="shared" si="85"/>
        <v>7.147649844739974</v>
      </c>
      <c r="J81" s="14">
        <f>SUM(F81:I81)</f>
        <v>68.72137817807327</v>
      </c>
      <c r="K81" s="22"/>
      <c r="N81" s="14">
        <v>80</v>
      </c>
      <c r="O81" s="15">
        <f>N81/1800</f>
        <v>0.044444444444444446</v>
      </c>
      <c r="P81" s="14">
        <v>0</v>
      </c>
      <c r="Q81" s="14">
        <v>7.849866666666667</v>
      </c>
      <c r="R81" s="14">
        <v>0</v>
      </c>
      <c r="S81" s="14">
        <v>0</v>
      </c>
      <c r="T81" s="14">
        <v>0.7064880280733108</v>
      </c>
      <c r="U81" s="14">
        <f>SUM(Q81:T81)</f>
        <v>8.556354694739978</v>
      </c>
      <c r="V81" s="16">
        <f>U81/$J81</f>
        <v>0.12450790309484844</v>
      </c>
      <c r="Y81" s="233">
        <f>310*0.95</f>
        <v>294.5</v>
      </c>
      <c r="Z81" s="15">
        <f>Y81/1800</f>
        <v>0.16361111111111112</v>
      </c>
      <c r="AA81" s="14">
        <v>0</v>
      </c>
      <c r="AB81" s="233">
        <f>28.3757444444444*0.95</f>
        <v>26.95695722222218</v>
      </c>
      <c r="AC81" s="14">
        <v>0</v>
      </c>
      <c r="AD81" s="14">
        <v>0</v>
      </c>
      <c r="AE81" s="233">
        <f>SUM(AB81:AD81)*0.09</f>
        <v>2.426126149999996</v>
      </c>
      <c r="AF81" s="14">
        <f>SUM(AB81:AE81)</f>
        <v>29.383083372222174</v>
      </c>
      <c r="AG81" s="16">
        <f>AF81/$J81</f>
        <v>0.4275683077263627</v>
      </c>
      <c r="AJ81" s="233">
        <f>360*0.95</f>
        <v>342</v>
      </c>
      <c r="AK81" s="15">
        <f>AJ81/1800</f>
        <v>0.19</v>
      </c>
      <c r="AL81" s="14">
        <v>0</v>
      </c>
      <c r="AM81" s="233">
        <f>28.1756888888889*0.95</f>
        <v>26.766904444444453</v>
      </c>
      <c r="AN81" s="14">
        <v>0</v>
      </c>
      <c r="AO81" s="14">
        <v>0</v>
      </c>
      <c r="AP81" s="233">
        <f>SUM(AM81:AO81)*0.15</f>
        <v>4.015035666666668</v>
      </c>
      <c r="AQ81" s="14">
        <f>SUM(AM81:AP81)</f>
        <v>30.78194011111112</v>
      </c>
      <c r="AR81" s="16">
        <f>AQ81/$J81</f>
        <v>0.447923789178789</v>
      </c>
      <c r="AU81" s="14">
        <v>0</v>
      </c>
      <c r="AV81" s="15">
        <f>AU81/1800</f>
        <v>0</v>
      </c>
      <c r="AW81" s="14">
        <v>0</v>
      </c>
      <c r="AX81" s="14">
        <v>0</v>
      </c>
      <c r="AY81" s="14">
        <v>0</v>
      </c>
      <c r="AZ81" s="14">
        <v>0</v>
      </c>
      <c r="BA81" s="14">
        <v>0</v>
      </c>
      <c r="BB81" s="14">
        <f>SUM(AX81:BA81)</f>
        <v>0</v>
      </c>
      <c r="BC81" s="16">
        <f>BB81/$J81</f>
        <v>0</v>
      </c>
    </row>
    <row r="82" spans="1:55" ht="12.75">
      <c r="A82" s="23" t="s">
        <v>969</v>
      </c>
      <c r="B82" s="19" t="s">
        <v>970</v>
      </c>
      <c r="C82" s="14">
        <f t="shared" si="85"/>
        <v>1790</v>
      </c>
      <c r="D82" s="15">
        <f t="shared" si="85"/>
        <v>0.9944444444444445</v>
      </c>
      <c r="E82" s="14">
        <f t="shared" si="85"/>
        <v>0</v>
      </c>
      <c r="F82" s="14">
        <f t="shared" si="85"/>
        <v>152.40745555555554</v>
      </c>
      <c r="G82" s="14">
        <f t="shared" si="85"/>
        <v>0</v>
      </c>
      <c r="H82" s="14">
        <f t="shared" si="85"/>
        <v>0</v>
      </c>
      <c r="I82" s="14">
        <f t="shared" si="85"/>
        <v>17.328449021904003</v>
      </c>
      <c r="J82" s="14">
        <f>SUM(F82:I82)</f>
        <v>169.73590457745954</v>
      </c>
      <c r="K82" s="22"/>
      <c r="N82" s="14">
        <v>240</v>
      </c>
      <c r="O82" s="15">
        <f>N82/1800</f>
        <v>0.13333333333333333</v>
      </c>
      <c r="P82" s="14">
        <v>0</v>
      </c>
      <c r="Q82" s="14">
        <v>23.549599999999998</v>
      </c>
      <c r="R82" s="14">
        <v>0</v>
      </c>
      <c r="S82" s="14">
        <v>0</v>
      </c>
      <c r="T82" s="14">
        <v>2.119464084219932</v>
      </c>
      <c r="U82" s="14">
        <f>SUM(Q82:T82)</f>
        <v>25.66906408421993</v>
      </c>
      <c r="V82" s="16">
        <f>U82/$J82</f>
        <v>0.15122942990830657</v>
      </c>
      <c r="Y82" s="14">
        <v>770</v>
      </c>
      <c r="Z82" s="15">
        <f>Y82/1800</f>
        <v>0.42777777777777776</v>
      </c>
      <c r="AA82" s="14">
        <v>0</v>
      </c>
      <c r="AB82" s="14">
        <v>68.66156666666667</v>
      </c>
      <c r="AC82" s="14">
        <v>0</v>
      </c>
      <c r="AD82" s="14">
        <v>0</v>
      </c>
      <c r="AE82" s="14">
        <v>6.1795412455528975</v>
      </c>
      <c r="AF82" s="14">
        <f>SUM(AB82:AE82)</f>
        <v>74.84110791221957</v>
      </c>
      <c r="AG82" s="16">
        <f>AF82/$J82</f>
        <v>0.44092679211584007</v>
      </c>
      <c r="AJ82" s="14">
        <v>780</v>
      </c>
      <c r="AK82" s="15">
        <f>AJ82/1800</f>
        <v>0.43333333333333335</v>
      </c>
      <c r="AL82" s="14">
        <v>0</v>
      </c>
      <c r="AM82" s="14">
        <v>60.19628888888889</v>
      </c>
      <c r="AN82" s="14">
        <v>0</v>
      </c>
      <c r="AO82" s="14">
        <v>0</v>
      </c>
      <c r="AP82" s="14">
        <v>9.029443692131174</v>
      </c>
      <c r="AQ82" s="14">
        <f>SUM(AM82:AP82)</f>
        <v>69.22573258102005</v>
      </c>
      <c r="AR82" s="16">
        <f>AQ82/$J82</f>
        <v>0.40784377797585347</v>
      </c>
      <c r="AU82" s="14">
        <v>0</v>
      </c>
      <c r="AV82" s="15">
        <f>AU82/1800</f>
        <v>0</v>
      </c>
      <c r="AW82" s="14">
        <v>0</v>
      </c>
      <c r="AX82" s="14">
        <v>0</v>
      </c>
      <c r="AY82" s="14">
        <v>0</v>
      </c>
      <c r="AZ82" s="14">
        <v>0</v>
      </c>
      <c r="BA82" s="14">
        <v>0</v>
      </c>
      <c r="BB82" s="14">
        <f>SUM(AX82:BA82)</f>
        <v>0</v>
      </c>
      <c r="BC82" s="16">
        <f>BB82/$J82</f>
        <v>0</v>
      </c>
    </row>
    <row r="83" spans="1:55" ht="12.75">
      <c r="A83" s="23">
        <v>6.3</v>
      </c>
      <c r="B83" s="19" t="s">
        <v>971</v>
      </c>
      <c r="K83" s="22"/>
      <c r="V83" s="22" t="s">
        <v>683</v>
      </c>
      <c r="AG83" s="22" t="s">
        <v>683</v>
      </c>
      <c r="AR83" s="22" t="s">
        <v>683</v>
      </c>
      <c r="BC83" s="22" t="s">
        <v>683</v>
      </c>
    </row>
    <row r="84" spans="1:55" ht="12.75">
      <c r="A84" s="23" t="s">
        <v>972</v>
      </c>
      <c r="B84" s="13" t="s">
        <v>973</v>
      </c>
      <c r="C84" s="14">
        <f aca="true" t="shared" si="86" ref="C84:I87">SUM(N84,Y84,AJ84,AU84)</f>
        <v>300</v>
      </c>
      <c r="D84" s="15">
        <f t="shared" si="86"/>
        <v>0.16666666666666669</v>
      </c>
      <c r="E84" s="14">
        <f t="shared" si="86"/>
        <v>0</v>
      </c>
      <c r="F84" s="14">
        <f t="shared" si="86"/>
        <v>24.8414</v>
      </c>
      <c r="G84" s="14">
        <f t="shared" si="86"/>
        <v>0</v>
      </c>
      <c r="H84" s="14">
        <f t="shared" si="86"/>
        <v>0</v>
      </c>
      <c r="I84" s="14">
        <f t="shared" si="86"/>
        <v>1.4904839666850864</v>
      </c>
      <c r="J84" s="14">
        <f>SUM(F84:I84)</f>
        <v>26.331883966685087</v>
      </c>
      <c r="K84" s="22"/>
      <c r="N84" s="14">
        <v>20</v>
      </c>
      <c r="O84" s="15">
        <f>N84/1800</f>
        <v>0.011111111111111112</v>
      </c>
      <c r="P84" s="14">
        <v>0</v>
      </c>
      <c r="Q84" s="14">
        <v>1.9624666666666668</v>
      </c>
      <c r="R84" s="14">
        <v>0</v>
      </c>
      <c r="S84" s="14">
        <v>0</v>
      </c>
      <c r="T84" s="14">
        <v>0.11774799736812712</v>
      </c>
      <c r="U84" s="14">
        <f>SUM(Q84:T84)</f>
        <v>2.080214664034794</v>
      </c>
      <c r="V84" s="16">
        <f aca="true" t="shared" si="87" ref="V84:V108">U84/$J84</f>
        <v>0.07899984166217149</v>
      </c>
      <c r="Y84" s="14">
        <v>100</v>
      </c>
      <c r="Z84" s="15">
        <f>Y84/1800</f>
        <v>0.05555555555555555</v>
      </c>
      <c r="AA84" s="14">
        <v>0</v>
      </c>
      <c r="AB84" s="14">
        <v>8.280466666666667</v>
      </c>
      <c r="AC84" s="14">
        <v>0</v>
      </c>
      <c r="AD84" s="14">
        <v>0</v>
      </c>
      <c r="AE84" s="14">
        <v>0.4968279888950288</v>
      </c>
      <c r="AF84" s="14">
        <f>SUM(AB84:AE84)</f>
        <v>8.777294655561697</v>
      </c>
      <c r="AG84" s="16">
        <f aca="true" t="shared" si="88" ref="AG84:AG108">AF84/$J84</f>
        <v>0.33333333333333337</v>
      </c>
      <c r="AJ84" s="14">
        <v>180</v>
      </c>
      <c r="AK84" s="15">
        <f>AJ84/1800</f>
        <v>0.1</v>
      </c>
      <c r="AL84" s="14">
        <v>0</v>
      </c>
      <c r="AM84" s="14">
        <v>14.598466666666665</v>
      </c>
      <c r="AN84" s="14">
        <v>0</v>
      </c>
      <c r="AO84" s="14">
        <v>0</v>
      </c>
      <c r="AP84" s="14">
        <v>0.8759079804219304</v>
      </c>
      <c r="AQ84" s="14">
        <f>SUM(AM84:AP84)</f>
        <v>15.474374647088595</v>
      </c>
      <c r="AR84" s="16">
        <f aca="true" t="shared" si="89" ref="AR84:AR108">AQ84/$J84</f>
        <v>0.5876668250044951</v>
      </c>
      <c r="AU84" s="14">
        <v>0</v>
      </c>
      <c r="AV84" s="15">
        <f>AU84/1800</f>
        <v>0</v>
      </c>
      <c r="AW84" s="14">
        <v>0</v>
      </c>
      <c r="AX84" s="14">
        <v>0</v>
      </c>
      <c r="AY84" s="14">
        <v>0</v>
      </c>
      <c r="AZ84" s="14">
        <v>0</v>
      </c>
      <c r="BA84" s="14">
        <v>0</v>
      </c>
      <c r="BB84" s="14">
        <f>SUM(AX84:BA84)</f>
        <v>0</v>
      </c>
      <c r="BC84" s="16">
        <f aca="true" t="shared" si="90" ref="BC84:BC108">BB84/$J84</f>
        <v>0</v>
      </c>
    </row>
    <row r="85" spans="1:55" ht="12.75">
      <c r="A85" s="23" t="s">
        <v>974</v>
      </c>
      <c r="B85" s="19" t="s">
        <v>975</v>
      </c>
      <c r="C85" s="14">
        <f t="shared" si="86"/>
        <v>3475</v>
      </c>
      <c r="D85" s="15">
        <f t="shared" si="86"/>
        <v>1.9305555555555556</v>
      </c>
      <c r="E85" s="14">
        <f t="shared" si="86"/>
        <v>5</v>
      </c>
      <c r="F85" s="14">
        <f t="shared" si="86"/>
        <v>287.8738722222222</v>
      </c>
      <c r="G85" s="14">
        <f t="shared" si="86"/>
        <v>0</v>
      </c>
      <c r="H85" s="14">
        <f t="shared" si="86"/>
        <v>18.85867529296875</v>
      </c>
      <c r="I85" s="14">
        <f t="shared" si="86"/>
        <v>35.25025588997707</v>
      </c>
      <c r="J85" s="14">
        <f>SUM(F85:I85)</f>
        <v>341.98280340516806</v>
      </c>
      <c r="K85" s="22"/>
      <c r="N85" s="14">
        <v>340</v>
      </c>
      <c r="O85" s="15">
        <f>N85/1800</f>
        <v>0.18888888888888888</v>
      </c>
      <c r="P85" s="14">
        <v>0</v>
      </c>
      <c r="Q85" s="14">
        <v>30.2982</v>
      </c>
      <c r="R85" s="14">
        <v>0</v>
      </c>
      <c r="S85" s="14">
        <v>0</v>
      </c>
      <c r="T85" s="14">
        <v>2.7268381083548068</v>
      </c>
      <c r="U85" s="14">
        <f>SUM(Q85:T85)</f>
        <v>33.025038108354806</v>
      </c>
      <c r="V85" s="16">
        <f t="shared" si="87"/>
        <v>0.09656929465318176</v>
      </c>
      <c r="Y85" s="14">
        <v>1570</v>
      </c>
      <c r="Z85" s="15">
        <f>Y85/1800</f>
        <v>0.8722222222222222</v>
      </c>
      <c r="AA85" s="14">
        <v>3</v>
      </c>
      <c r="AB85" s="14">
        <v>137.71372222222223</v>
      </c>
      <c r="AC85" s="14">
        <v>0</v>
      </c>
      <c r="AD85" s="14">
        <v>11.315205078125</v>
      </c>
      <c r="AE85" s="14">
        <v>13.412603990000227</v>
      </c>
      <c r="AF85" s="14">
        <f>SUM(AB85:AE85)</f>
        <v>162.44153129034746</v>
      </c>
      <c r="AG85" s="16">
        <f t="shared" si="88"/>
        <v>0.4749991218064055</v>
      </c>
      <c r="AJ85" s="14">
        <v>1565</v>
      </c>
      <c r="AK85" s="15">
        <f>AJ85/1800</f>
        <v>0.8694444444444445</v>
      </c>
      <c r="AL85" s="14">
        <v>2</v>
      </c>
      <c r="AM85" s="14">
        <v>119.86194999999998</v>
      </c>
      <c r="AN85" s="14">
        <v>0</v>
      </c>
      <c r="AO85" s="14">
        <v>7.54347021484375</v>
      </c>
      <c r="AP85" s="14">
        <v>19.11081379162204</v>
      </c>
      <c r="AQ85" s="14">
        <f>SUM(AM85:AP85)</f>
        <v>146.51623400646577</v>
      </c>
      <c r="AR85" s="16">
        <f t="shared" si="89"/>
        <v>0.4284315835404126</v>
      </c>
      <c r="AU85" s="14">
        <v>0</v>
      </c>
      <c r="AV85" s="15">
        <f>AU85/1800</f>
        <v>0</v>
      </c>
      <c r="AW85" s="14">
        <v>0</v>
      </c>
      <c r="AX85" s="14">
        <v>0</v>
      </c>
      <c r="AY85" s="14">
        <v>0</v>
      </c>
      <c r="AZ85" s="14">
        <v>0</v>
      </c>
      <c r="BA85" s="14">
        <v>0</v>
      </c>
      <c r="BB85" s="14">
        <f>SUM(AX85:BA85)</f>
        <v>0</v>
      </c>
      <c r="BC85" s="16">
        <f t="shared" si="90"/>
        <v>0</v>
      </c>
    </row>
    <row r="86" spans="1:55" ht="12.75">
      <c r="A86" s="23" t="s">
        <v>976</v>
      </c>
      <c r="B86" s="19" t="s">
        <v>977</v>
      </c>
      <c r="C86" s="14">
        <f t="shared" si="86"/>
        <v>3340</v>
      </c>
      <c r="D86" s="15">
        <f t="shared" si="86"/>
        <v>1.8555555555555556</v>
      </c>
      <c r="E86" s="14">
        <f t="shared" si="86"/>
        <v>0</v>
      </c>
      <c r="F86" s="14">
        <f t="shared" si="86"/>
        <v>249.26767777777775</v>
      </c>
      <c r="G86" s="14">
        <f t="shared" si="86"/>
        <v>0</v>
      </c>
      <c r="H86" s="14">
        <f t="shared" si="86"/>
        <v>0</v>
      </c>
      <c r="I86" s="14">
        <f t="shared" si="86"/>
        <v>52.17177759258598</v>
      </c>
      <c r="J86" s="14">
        <f>SUM(F86:I86)</f>
        <v>301.4394553703637</v>
      </c>
      <c r="K86" s="22"/>
      <c r="N86" s="14">
        <v>250</v>
      </c>
      <c r="O86" s="15">
        <f>N86/1800</f>
        <v>0.1388888888888889</v>
      </c>
      <c r="P86" s="14">
        <v>0</v>
      </c>
      <c r="Q86" s="14">
        <v>18.148055555555555</v>
      </c>
      <c r="R86" s="14">
        <v>0</v>
      </c>
      <c r="S86" s="14">
        <v>0</v>
      </c>
      <c r="T86" s="14">
        <v>3.2666501298050084</v>
      </c>
      <c r="U86" s="14">
        <f>SUM(Q86:T86)</f>
        <v>21.414705685360563</v>
      </c>
      <c r="V86" s="16">
        <f t="shared" si="87"/>
        <v>0.07104148214124584</v>
      </c>
      <c r="Y86" s="14">
        <v>1390</v>
      </c>
      <c r="Z86" s="15">
        <f>Y86/1800</f>
        <v>0.7722222222222223</v>
      </c>
      <c r="AA86" s="14">
        <v>0</v>
      </c>
      <c r="AB86" s="14">
        <v>109.39303333333332</v>
      </c>
      <c r="AC86" s="14">
        <v>0</v>
      </c>
      <c r="AD86" s="14">
        <v>0</v>
      </c>
      <c r="AE86" s="14">
        <v>19.690746782439945</v>
      </c>
      <c r="AF86" s="14">
        <f>SUM(AB86:AE86)</f>
        <v>129.08378011577327</v>
      </c>
      <c r="AG86" s="16">
        <f t="shared" si="88"/>
        <v>0.4282245665457909</v>
      </c>
      <c r="AJ86" s="14">
        <v>1700</v>
      </c>
      <c r="AK86" s="15">
        <f>AJ86/1800</f>
        <v>0.9444444444444444</v>
      </c>
      <c r="AL86" s="14">
        <v>0</v>
      </c>
      <c r="AM86" s="14">
        <v>121.72658888888888</v>
      </c>
      <c r="AN86" s="14">
        <v>0</v>
      </c>
      <c r="AO86" s="14">
        <v>0</v>
      </c>
      <c r="AP86" s="14">
        <v>29.214380680341026</v>
      </c>
      <c r="AQ86" s="14">
        <f>SUM(AM86:AP86)</f>
        <v>150.9409695692299</v>
      </c>
      <c r="AR86" s="16">
        <f t="shared" si="89"/>
        <v>0.5007339513129634</v>
      </c>
      <c r="AU86" s="14">
        <v>0</v>
      </c>
      <c r="AV86" s="15">
        <f>AU86/1800</f>
        <v>0</v>
      </c>
      <c r="AW86" s="14">
        <v>0</v>
      </c>
      <c r="AX86" s="14">
        <v>0</v>
      </c>
      <c r="AY86" s="14">
        <v>0</v>
      </c>
      <c r="AZ86" s="14">
        <v>0</v>
      </c>
      <c r="BA86" s="14">
        <v>0</v>
      </c>
      <c r="BB86" s="14">
        <f>SUM(AX86:BA86)</f>
        <v>0</v>
      </c>
      <c r="BC86" s="16">
        <f t="shared" si="90"/>
        <v>0</v>
      </c>
    </row>
    <row r="87" spans="1:55" ht="12.75">
      <c r="A87" s="23">
        <v>6.4</v>
      </c>
      <c r="B87" s="19" t="s">
        <v>978</v>
      </c>
      <c r="C87" s="14">
        <f t="shared" si="86"/>
        <v>680</v>
      </c>
      <c r="D87" s="15">
        <f t="shared" si="86"/>
        <v>0.37777777777777777</v>
      </c>
      <c r="E87" s="14">
        <f t="shared" si="86"/>
        <v>0</v>
      </c>
      <c r="F87" s="14">
        <f t="shared" si="86"/>
        <v>51.24675555555555</v>
      </c>
      <c r="G87" s="14">
        <f t="shared" si="86"/>
        <v>39.14</v>
      </c>
      <c r="H87" s="14">
        <f t="shared" si="86"/>
        <v>0</v>
      </c>
      <c r="I87" s="14">
        <f t="shared" si="86"/>
        <v>28.92376113128132</v>
      </c>
      <c r="J87" s="14">
        <f>SUM(F87:I87)</f>
        <v>119.31051668683688</v>
      </c>
      <c r="K87" s="22"/>
      <c r="N87" s="14">
        <v>70</v>
      </c>
      <c r="O87" s="15">
        <f>N87/1800</f>
        <v>0.03888888888888889</v>
      </c>
      <c r="P87" s="14">
        <v>0</v>
      </c>
      <c r="Q87" s="14">
        <v>5.9750444444444435</v>
      </c>
      <c r="R87" s="14">
        <v>0</v>
      </c>
      <c r="S87" s="14">
        <v>0</v>
      </c>
      <c r="T87" s="14">
        <v>1.912014179485374</v>
      </c>
      <c r="U87" s="14">
        <f>SUM(Q87:T87)</f>
        <v>7.887058623929818</v>
      </c>
      <c r="V87" s="16">
        <f t="shared" si="87"/>
        <v>0.06610530943078188</v>
      </c>
      <c r="Y87" s="14">
        <v>370</v>
      </c>
      <c r="Z87" s="15">
        <f>Y87/1800</f>
        <v>0.20555555555555555</v>
      </c>
      <c r="AA87" s="14">
        <v>0</v>
      </c>
      <c r="AB87" s="14">
        <v>29.7952</v>
      </c>
      <c r="AC87" s="14">
        <v>0</v>
      </c>
      <c r="AD87" s="14">
        <v>0</v>
      </c>
      <c r="AE87" s="14">
        <v>9.534463786888123</v>
      </c>
      <c r="AF87" s="14">
        <f>SUM(AB87:AE87)</f>
        <v>39.329663786888126</v>
      </c>
      <c r="AG87" s="16">
        <f t="shared" si="88"/>
        <v>0.32964121587135187</v>
      </c>
      <c r="AJ87" s="14">
        <v>240</v>
      </c>
      <c r="AK87" s="15">
        <f>AJ87/1800</f>
        <v>0.13333333333333333</v>
      </c>
      <c r="AL87" s="14">
        <v>0</v>
      </c>
      <c r="AM87" s="14">
        <v>15.476511111111112</v>
      </c>
      <c r="AN87" s="14">
        <v>39.14</v>
      </c>
      <c r="AO87" s="14">
        <v>0</v>
      </c>
      <c r="AP87" s="14">
        <v>17.477283164907824</v>
      </c>
      <c r="AQ87" s="14">
        <f>SUM(AM87:AP87)</f>
        <v>72.09379427601894</v>
      </c>
      <c r="AR87" s="16">
        <f t="shared" si="89"/>
        <v>0.6042534746978663</v>
      </c>
      <c r="AU87" s="14">
        <v>0</v>
      </c>
      <c r="AV87" s="15">
        <f>AU87/1800</f>
        <v>0</v>
      </c>
      <c r="AW87" s="14">
        <v>0</v>
      </c>
      <c r="AX87" s="14">
        <v>0</v>
      </c>
      <c r="AY87" s="14">
        <v>0</v>
      </c>
      <c r="AZ87" s="14">
        <v>0</v>
      </c>
      <c r="BA87" s="14">
        <v>0</v>
      </c>
      <c r="BB87" s="14">
        <f>SUM(AX87:BA87)</f>
        <v>0</v>
      </c>
      <c r="BC87" s="16">
        <f t="shared" si="90"/>
        <v>0</v>
      </c>
    </row>
    <row r="88" spans="1:56" ht="12.75">
      <c r="A88" s="8">
        <v>7</v>
      </c>
      <c r="B88" s="9" t="s">
        <v>979</v>
      </c>
      <c r="C88" s="25"/>
      <c r="D88" s="25"/>
      <c r="E88" s="25"/>
      <c r="F88" s="25"/>
      <c r="G88" s="25"/>
      <c r="H88" s="25"/>
      <c r="I88" s="25"/>
      <c r="J88" s="25"/>
      <c r="K88" s="11">
        <f>L88/L$108</f>
        <v>0.03796678083468096</v>
      </c>
      <c r="L88" s="12">
        <f>SUM(J89:J93)</f>
        <v>1522.2089531814788</v>
      </c>
      <c r="N88" s="25"/>
      <c r="O88" s="25"/>
      <c r="P88" s="25"/>
      <c r="Q88" s="25"/>
      <c r="R88" s="25"/>
      <c r="S88" s="25"/>
      <c r="T88" s="25"/>
      <c r="U88" s="25"/>
      <c r="V88" s="25"/>
      <c r="W88" s="12">
        <f>SUM(U89:U93)</f>
        <v>106.98992424191368</v>
      </c>
      <c r="Y88" s="25"/>
      <c r="Z88" s="25"/>
      <c r="AA88" s="25"/>
      <c r="AB88" s="25"/>
      <c r="AC88" s="25"/>
      <c r="AD88" s="25"/>
      <c r="AE88" s="25"/>
      <c r="AF88" s="25"/>
      <c r="AG88" s="25"/>
      <c r="AH88" s="12">
        <f>SUM(AF89:AF93)</f>
        <v>452.07396626580976</v>
      </c>
      <c r="AJ88" s="25"/>
      <c r="AK88" s="25"/>
      <c r="AL88" s="25"/>
      <c r="AM88" s="25"/>
      <c r="AN88" s="25"/>
      <c r="AO88" s="25"/>
      <c r="AP88" s="25"/>
      <c r="AQ88" s="25"/>
      <c r="AR88" s="25"/>
      <c r="AS88" s="12">
        <f>SUM(AQ89:AQ93)</f>
        <v>963.1450626737555</v>
      </c>
      <c r="AU88" s="25"/>
      <c r="AV88" s="25"/>
      <c r="AW88" s="25"/>
      <c r="AX88" s="25"/>
      <c r="AY88" s="25"/>
      <c r="AZ88" s="25"/>
      <c r="BA88" s="25"/>
      <c r="BB88" s="25"/>
      <c r="BC88" s="25"/>
      <c r="BD88" s="12">
        <f>SUM(BB89:BB93)</f>
        <v>0</v>
      </c>
    </row>
    <row r="89" spans="1:55" ht="12.75">
      <c r="A89" s="13">
        <v>7.1</v>
      </c>
      <c r="B89" s="19" t="s">
        <v>980</v>
      </c>
      <c r="C89" s="14">
        <f aca="true" t="shared" si="91" ref="C89:I93">SUM(N89,Y89,AJ89,AU89)</f>
        <v>0</v>
      </c>
      <c r="D89" s="15">
        <f t="shared" si="91"/>
        <v>0</v>
      </c>
      <c r="E89" s="14">
        <f t="shared" si="91"/>
        <v>0</v>
      </c>
      <c r="F89" s="14">
        <f t="shared" si="91"/>
        <v>0</v>
      </c>
      <c r="G89" s="14">
        <f t="shared" si="91"/>
        <v>0</v>
      </c>
      <c r="H89" s="14">
        <f t="shared" si="91"/>
        <v>0</v>
      </c>
      <c r="I89" s="14">
        <f t="shared" si="91"/>
        <v>0</v>
      </c>
      <c r="J89" s="14">
        <f>SUM(F89:I89)</f>
        <v>0</v>
      </c>
      <c r="K89" s="22"/>
      <c r="N89" s="14">
        <v>0</v>
      </c>
      <c r="O89" s="15">
        <f>N89/1800</f>
        <v>0</v>
      </c>
      <c r="P89" s="14">
        <v>0</v>
      </c>
      <c r="Q89" s="14">
        <v>0</v>
      </c>
      <c r="R89" s="14">
        <v>0</v>
      </c>
      <c r="S89" s="14">
        <v>0</v>
      </c>
      <c r="T89" s="14">
        <v>0</v>
      </c>
      <c r="U89" s="14">
        <f>SUM(Q89:T89)</f>
        <v>0</v>
      </c>
      <c r="V89" s="16" t="e">
        <f t="shared" si="87"/>
        <v>#DIV/0!</v>
      </c>
      <c r="Y89" s="14">
        <v>0</v>
      </c>
      <c r="Z89" s="15">
        <f>Y89/1800</f>
        <v>0</v>
      </c>
      <c r="AA89" s="14">
        <v>0</v>
      </c>
      <c r="AB89" s="14">
        <v>0</v>
      </c>
      <c r="AC89" s="14">
        <v>0</v>
      </c>
      <c r="AD89" s="14">
        <v>0</v>
      </c>
      <c r="AE89" s="14">
        <v>0</v>
      </c>
      <c r="AF89" s="14">
        <f>SUM(AB89:AE89)</f>
        <v>0</v>
      </c>
      <c r="AG89" s="16" t="e">
        <f t="shared" si="88"/>
        <v>#DIV/0!</v>
      </c>
      <c r="AJ89" s="14">
        <v>0</v>
      </c>
      <c r="AK89" s="15">
        <f>AJ89/1800</f>
        <v>0</v>
      </c>
      <c r="AL89" s="14">
        <v>0</v>
      </c>
      <c r="AM89" s="14">
        <v>0</v>
      </c>
      <c r="AN89" s="14">
        <v>0</v>
      </c>
      <c r="AO89" s="14">
        <v>0</v>
      </c>
      <c r="AP89" s="14">
        <v>0</v>
      </c>
      <c r="AQ89" s="14">
        <f>SUM(AM89:AP89)</f>
        <v>0</v>
      </c>
      <c r="AR89" s="16" t="e">
        <f t="shared" si="89"/>
        <v>#DIV/0!</v>
      </c>
      <c r="AU89" s="14">
        <v>0</v>
      </c>
      <c r="AV89" s="15">
        <f>AU89/1800</f>
        <v>0</v>
      </c>
      <c r="AW89" s="14">
        <v>0</v>
      </c>
      <c r="AX89" s="14">
        <v>0</v>
      </c>
      <c r="AY89" s="14">
        <v>0</v>
      </c>
      <c r="AZ89" s="14">
        <v>0</v>
      </c>
      <c r="BA89" s="14">
        <v>0</v>
      </c>
      <c r="BB89" s="14">
        <f>SUM(AX89:BA89)</f>
        <v>0</v>
      </c>
      <c r="BC89" s="16" t="e">
        <f t="shared" si="90"/>
        <v>#DIV/0!</v>
      </c>
    </row>
    <row r="90" spans="1:55" ht="12.75">
      <c r="A90" s="13">
        <v>7.2</v>
      </c>
      <c r="B90" s="13" t="s">
        <v>981</v>
      </c>
      <c r="C90" s="14">
        <f t="shared" si="91"/>
        <v>5954</v>
      </c>
      <c r="D90" s="15">
        <f t="shared" si="91"/>
        <v>3.307777777777778</v>
      </c>
      <c r="E90" s="14">
        <f t="shared" si="91"/>
        <v>3</v>
      </c>
      <c r="F90" s="14">
        <f t="shared" si="91"/>
        <v>363.9404088888885</v>
      </c>
      <c r="G90" s="14">
        <f t="shared" si="91"/>
        <v>201.20999999999998</v>
      </c>
      <c r="H90" s="14">
        <f t="shared" si="91"/>
        <v>12.175205322265626</v>
      </c>
      <c r="I90" s="14">
        <f t="shared" si="91"/>
        <v>138.35814576226255</v>
      </c>
      <c r="J90" s="14">
        <f>SUM(F90:I90)</f>
        <v>715.6837599734166</v>
      </c>
      <c r="K90" s="22"/>
      <c r="N90" s="14">
        <v>660</v>
      </c>
      <c r="O90" s="15">
        <f>N90/1800</f>
        <v>0.36666666666666664</v>
      </c>
      <c r="P90" s="14">
        <v>1</v>
      </c>
      <c r="Q90" s="14">
        <v>45.34455555555555</v>
      </c>
      <c r="R90" s="14">
        <v>5</v>
      </c>
      <c r="S90" s="14">
        <v>3.771735107421875</v>
      </c>
      <c r="T90" s="14">
        <v>14.070235056280966</v>
      </c>
      <c r="U90" s="14">
        <f>SUM(Q90:T90)</f>
        <v>68.1865257192584</v>
      </c>
      <c r="V90" s="16">
        <f t="shared" si="87"/>
        <v>0.09527465835160367</v>
      </c>
      <c r="Y90" s="14">
        <v>2450</v>
      </c>
      <c r="Z90" s="15">
        <f>Y90/1800</f>
        <v>1.3611111111111112</v>
      </c>
      <c r="AA90" s="14">
        <v>0</v>
      </c>
      <c r="AB90" s="14">
        <v>164.91523333333333</v>
      </c>
      <c r="AC90" s="14">
        <v>30</v>
      </c>
      <c r="AD90" s="14">
        <v>0.86</v>
      </c>
      <c r="AE90" s="14">
        <v>39.15504725012233</v>
      </c>
      <c r="AF90" s="14">
        <f>SUM(AB90:AE90)</f>
        <v>234.93028058345567</v>
      </c>
      <c r="AG90" s="16">
        <f t="shared" si="88"/>
        <v>0.3282599015411247</v>
      </c>
      <c r="AJ90" s="233">
        <f>3160*0.9</f>
        <v>2844</v>
      </c>
      <c r="AK90" s="15">
        <f>AJ90/1800</f>
        <v>1.58</v>
      </c>
      <c r="AL90" s="14">
        <v>2</v>
      </c>
      <c r="AM90" s="233">
        <f>170.756244444444*0.9</f>
        <v>153.6806199999996</v>
      </c>
      <c r="AN90" s="233">
        <f>316.21-150</f>
        <v>166.20999999999998</v>
      </c>
      <c r="AO90" s="14">
        <v>7.54347021484375</v>
      </c>
      <c r="AP90" s="233">
        <f>SUM(AM90:AO90)*0.26</f>
        <v>85.13286345585927</v>
      </c>
      <c r="AQ90" s="14">
        <f>SUM(AM90:AP90)</f>
        <v>412.56695367070256</v>
      </c>
      <c r="AR90" s="16">
        <f t="shared" si="89"/>
        <v>0.5764654401072716</v>
      </c>
      <c r="AU90" s="14">
        <v>0</v>
      </c>
      <c r="AV90" s="15">
        <f>AU90/1800</f>
        <v>0</v>
      </c>
      <c r="AW90" s="14">
        <v>0</v>
      </c>
      <c r="AX90" s="14">
        <v>0</v>
      </c>
      <c r="AY90" s="14">
        <v>0</v>
      </c>
      <c r="AZ90" s="14">
        <v>0</v>
      </c>
      <c r="BA90" s="14">
        <v>0</v>
      </c>
      <c r="BB90" s="14">
        <f>SUM(AX90:BA90)</f>
        <v>0</v>
      </c>
      <c r="BC90" s="16">
        <f t="shared" si="90"/>
        <v>0</v>
      </c>
    </row>
    <row r="91" spans="1:55" ht="12.75">
      <c r="A91" s="13">
        <v>7.3</v>
      </c>
      <c r="B91" s="19" t="s">
        <v>982</v>
      </c>
      <c r="C91" s="14">
        <f t="shared" si="91"/>
        <v>4065.5</v>
      </c>
      <c r="D91" s="15">
        <f t="shared" si="91"/>
        <v>2.258611111111111</v>
      </c>
      <c r="E91" s="14">
        <f t="shared" si="91"/>
        <v>0</v>
      </c>
      <c r="F91" s="14">
        <f t="shared" si="91"/>
        <v>229.12753249999957</v>
      </c>
      <c r="G91" s="14">
        <f t="shared" si="91"/>
        <v>335.25190000000003</v>
      </c>
      <c r="H91" s="14">
        <f t="shared" si="91"/>
        <v>0</v>
      </c>
      <c r="I91" s="14">
        <f t="shared" si="91"/>
        <v>124.16347512394353</v>
      </c>
      <c r="J91" s="14">
        <f>SUM(F91:I91)</f>
        <v>688.5429076239432</v>
      </c>
      <c r="K91" s="22"/>
      <c r="N91" s="14">
        <v>280</v>
      </c>
      <c r="O91" s="15">
        <f>N91/1800</f>
        <v>0.15555555555555556</v>
      </c>
      <c r="P91" s="14">
        <v>0</v>
      </c>
      <c r="Q91" s="14">
        <v>21.857688888888887</v>
      </c>
      <c r="R91" s="14">
        <v>0</v>
      </c>
      <c r="S91" s="14">
        <v>0</v>
      </c>
      <c r="T91" s="14">
        <v>4.80869152949916</v>
      </c>
      <c r="U91" s="14">
        <f>SUM(Q91:T91)</f>
        <v>26.666380418388048</v>
      </c>
      <c r="V91" s="16">
        <f t="shared" si="87"/>
        <v>0.03872871265265032</v>
      </c>
      <c r="Y91" s="233">
        <f>1136*0.95</f>
        <v>1079.2</v>
      </c>
      <c r="Z91" s="15">
        <f>Y91/1800</f>
        <v>0.5995555555555556</v>
      </c>
      <c r="AA91" s="14">
        <v>0</v>
      </c>
      <c r="AB91" s="233">
        <f>78.2080122222222*0.95</f>
        <v>74.29761161111108</v>
      </c>
      <c r="AC91" s="233">
        <f>70-10</f>
        <v>60</v>
      </c>
      <c r="AD91" s="14">
        <v>0</v>
      </c>
      <c r="AE91" s="233">
        <f>SUM(AB91:AD91)*0.22</f>
        <v>29.54547455444444</v>
      </c>
      <c r="AF91" s="14">
        <f>SUM(AB91:AE91)</f>
        <v>163.84308616555552</v>
      </c>
      <c r="AG91" s="16">
        <f t="shared" si="88"/>
        <v>0.2379562469548239</v>
      </c>
      <c r="AJ91" s="233">
        <f>3007*0.9</f>
        <v>2706.3</v>
      </c>
      <c r="AK91" s="15">
        <f>AJ91/1800</f>
        <v>1.5035</v>
      </c>
      <c r="AL91" s="14">
        <v>0</v>
      </c>
      <c r="AM91" s="233">
        <f>147.746924444444*0.9</f>
        <v>132.97223199999962</v>
      </c>
      <c r="AN91" s="233">
        <f>284.002-0.5*0.3*(25+33.334)</f>
        <v>275.25190000000003</v>
      </c>
      <c r="AO91" s="14">
        <v>0</v>
      </c>
      <c r="AP91" s="233">
        <f>SUM(AM91:AO91)*0.22</f>
        <v>89.80930903999993</v>
      </c>
      <c r="AQ91" s="14">
        <f>SUM(AM91:AP91)</f>
        <v>498.0334410399996</v>
      </c>
      <c r="AR91" s="16">
        <f t="shared" si="89"/>
        <v>0.7233150403925258</v>
      </c>
      <c r="AU91" s="14">
        <v>0</v>
      </c>
      <c r="AV91" s="15">
        <f>AU91/1800</f>
        <v>0</v>
      </c>
      <c r="AW91" s="14">
        <v>0</v>
      </c>
      <c r="AX91" s="14">
        <v>0</v>
      </c>
      <c r="AY91" s="14">
        <v>0</v>
      </c>
      <c r="AZ91" s="14">
        <v>0</v>
      </c>
      <c r="BA91" s="14">
        <v>0</v>
      </c>
      <c r="BB91" s="14">
        <f>SUM(AX91:BA91)</f>
        <v>0</v>
      </c>
      <c r="BC91" s="16">
        <f t="shared" si="90"/>
        <v>0</v>
      </c>
    </row>
    <row r="92" spans="1:55" ht="12.75">
      <c r="A92" s="13">
        <v>7.4</v>
      </c>
      <c r="B92" s="13" t="s">
        <v>983</v>
      </c>
      <c r="C92" s="14">
        <f t="shared" si="91"/>
        <v>0</v>
      </c>
      <c r="D92" s="15">
        <f t="shared" si="91"/>
        <v>0</v>
      </c>
      <c r="E92" s="14">
        <f t="shared" si="91"/>
        <v>0</v>
      </c>
      <c r="F92" s="14">
        <f t="shared" si="91"/>
        <v>0</v>
      </c>
      <c r="G92" s="14">
        <f t="shared" si="91"/>
        <v>0</v>
      </c>
      <c r="H92" s="14">
        <f t="shared" si="91"/>
        <v>0</v>
      </c>
      <c r="I92" s="14">
        <f t="shared" si="91"/>
        <v>0</v>
      </c>
      <c r="J92" s="14">
        <f>SUM(F92:I92)</f>
        <v>0</v>
      </c>
      <c r="K92" s="22"/>
      <c r="N92" s="233">
        <f>100-100</f>
        <v>0</v>
      </c>
      <c r="O92" s="15">
        <f>N92/1800</f>
        <v>0</v>
      </c>
      <c r="P92" s="14">
        <v>0</v>
      </c>
      <c r="Q92" s="233">
        <f>8.303-8.303</f>
        <v>0</v>
      </c>
      <c r="R92" s="14">
        <v>0</v>
      </c>
      <c r="S92" s="14">
        <v>0</v>
      </c>
      <c r="T92" s="233">
        <f>SUM(Q92:S92)*0.1</f>
        <v>0</v>
      </c>
      <c r="U92" s="14">
        <f>SUM(Q92:T92)</f>
        <v>0</v>
      </c>
      <c r="V92" s="16" t="e">
        <f t="shared" si="87"/>
        <v>#DIV/0!</v>
      </c>
      <c r="Y92" s="233">
        <f>380-380</f>
        <v>0</v>
      </c>
      <c r="Z92" s="15">
        <f>Y92/1800</f>
        <v>0</v>
      </c>
      <c r="AA92" s="14">
        <v>0</v>
      </c>
      <c r="AB92" s="233">
        <f>32.8-32.8</f>
        <v>0</v>
      </c>
      <c r="AC92" s="14">
        <v>0</v>
      </c>
      <c r="AD92" s="14">
        <v>0</v>
      </c>
      <c r="AE92" s="233">
        <f>SUM(AB92:AD92)*0.1</f>
        <v>0</v>
      </c>
      <c r="AF92" s="14">
        <f>SUM(AB92:AE92)</f>
        <v>0</v>
      </c>
      <c r="AG92" s="16" t="e">
        <f t="shared" si="88"/>
        <v>#DIV/0!</v>
      </c>
      <c r="AJ92" s="233">
        <f>520-520</f>
        <v>0</v>
      </c>
      <c r="AK92" s="15">
        <f>AJ92/1800</f>
        <v>0</v>
      </c>
      <c r="AL92" s="14">
        <v>0</v>
      </c>
      <c r="AM92" s="233">
        <f>29.786-29.786</f>
        <v>0</v>
      </c>
      <c r="AN92" s="233">
        <f>46.35-46.35</f>
        <v>0</v>
      </c>
      <c r="AO92" s="14">
        <v>0</v>
      </c>
      <c r="AP92" s="233">
        <f>SUM(AM92:AO92)*0.15</f>
        <v>0</v>
      </c>
      <c r="AQ92" s="14">
        <f>SUM(AM92:AP92)</f>
        <v>0</v>
      </c>
      <c r="AR92" s="16" t="e">
        <f t="shared" si="89"/>
        <v>#DIV/0!</v>
      </c>
      <c r="AU92" s="233">
        <f>200-200</f>
        <v>0</v>
      </c>
      <c r="AV92" s="15">
        <f>AU92/1800</f>
        <v>0</v>
      </c>
      <c r="AW92" s="14">
        <v>0</v>
      </c>
      <c r="AX92" s="233">
        <f>18.648-18.648</f>
        <v>0</v>
      </c>
      <c r="AY92" s="14">
        <v>0</v>
      </c>
      <c r="AZ92" s="14">
        <v>0</v>
      </c>
      <c r="BA92" s="233">
        <f>SUM(AX92:AZ92)*0.1</f>
        <v>0</v>
      </c>
      <c r="BB92" s="14">
        <f>SUM(AX92:BA92)</f>
        <v>0</v>
      </c>
      <c r="BC92" s="16" t="e">
        <f t="shared" si="90"/>
        <v>#DIV/0!</v>
      </c>
    </row>
    <row r="93" spans="1:55" ht="12.75">
      <c r="A93" s="13">
        <v>7.5</v>
      </c>
      <c r="B93" s="19" t="s">
        <v>984</v>
      </c>
      <c r="C93" s="14">
        <f t="shared" si="91"/>
        <v>1024</v>
      </c>
      <c r="D93" s="15">
        <f t="shared" si="91"/>
        <v>0.568888888888889</v>
      </c>
      <c r="E93" s="14">
        <f t="shared" si="91"/>
        <v>0</v>
      </c>
      <c r="F93" s="14">
        <f t="shared" si="91"/>
        <v>74.62132666666666</v>
      </c>
      <c r="G93" s="14">
        <f t="shared" si="91"/>
        <v>30.72</v>
      </c>
      <c r="H93" s="14">
        <f t="shared" si="91"/>
        <v>0</v>
      </c>
      <c r="I93" s="14">
        <f t="shared" si="91"/>
        <v>12.640958917452544</v>
      </c>
      <c r="J93" s="14">
        <f>SUM(F93:I93)</f>
        <v>117.98228558411921</v>
      </c>
      <c r="K93" s="22"/>
      <c r="N93" s="14">
        <v>61</v>
      </c>
      <c r="O93" s="15">
        <f>N93/1800</f>
        <v>0.03388888888888889</v>
      </c>
      <c r="P93" s="14">
        <v>0</v>
      </c>
      <c r="Q93" s="14">
        <v>4.836623333333333</v>
      </c>
      <c r="R93" s="14">
        <v>6</v>
      </c>
      <c r="S93" s="14">
        <v>0</v>
      </c>
      <c r="T93" s="14">
        <v>1.3003947709339112</v>
      </c>
      <c r="U93" s="14">
        <f>SUM(Q93:T93)</f>
        <v>12.137018104267243</v>
      </c>
      <c r="V93" s="16">
        <f t="shared" si="87"/>
        <v>0.10287152892638082</v>
      </c>
      <c r="Y93" s="14">
        <v>619</v>
      </c>
      <c r="Z93" s="15">
        <f>Y93/1800</f>
        <v>0.3438888888888889</v>
      </c>
      <c r="AA93" s="14">
        <v>0</v>
      </c>
      <c r="AB93" s="14">
        <v>47.58982111111111</v>
      </c>
      <c r="AC93" s="14">
        <v>0</v>
      </c>
      <c r="AD93" s="14">
        <v>0</v>
      </c>
      <c r="AE93" s="14">
        <v>5.710778405687486</v>
      </c>
      <c r="AF93" s="14">
        <f>SUM(AB93:AE93)</f>
        <v>53.30059951679859</v>
      </c>
      <c r="AG93" s="16">
        <f t="shared" si="88"/>
        <v>0.4517678162693012</v>
      </c>
      <c r="AJ93" s="14">
        <v>344</v>
      </c>
      <c r="AK93" s="15">
        <f>AJ93/1800</f>
        <v>0.19111111111111112</v>
      </c>
      <c r="AL93" s="14">
        <v>0</v>
      </c>
      <c r="AM93" s="14">
        <v>22.194882222222223</v>
      </c>
      <c r="AN93" s="14">
        <v>24.72</v>
      </c>
      <c r="AO93" s="14">
        <v>0</v>
      </c>
      <c r="AP93" s="14">
        <v>5.629785740831147</v>
      </c>
      <c r="AQ93" s="14">
        <f>SUM(AM93:AP93)</f>
        <v>52.544667963053364</v>
      </c>
      <c r="AR93" s="16">
        <f t="shared" si="89"/>
        <v>0.44536065480431786</v>
      </c>
      <c r="AU93" s="14">
        <v>0</v>
      </c>
      <c r="AV93" s="15">
        <f>AU93/1800</f>
        <v>0</v>
      </c>
      <c r="AW93" s="14">
        <v>0</v>
      </c>
      <c r="AX93" s="14">
        <v>0</v>
      </c>
      <c r="AY93" s="14">
        <v>0</v>
      </c>
      <c r="AZ93" s="14">
        <v>0</v>
      </c>
      <c r="BA93" s="14">
        <v>0</v>
      </c>
      <c r="BB93" s="14">
        <f>SUM(AX93:BA93)</f>
        <v>0</v>
      </c>
      <c r="BC93" s="16">
        <f t="shared" si="90"/>
        <v>0</v>
      </c>
    </row>
    <row r="94" spans="1:56" ht="12.75">
      <c r="A94" s="8">
        <v>8</v>
      </c>
      <c r="B94" s="9" t="s">
        <v>985</v>
      </c>
      <c r="C94" s="25"/>
      <c r="D94" s="25"/>
      <c r="E94" s="25"/>
      <c r="F94" s="25"/>
      <c r="G94" s="25"/>
      <c r="H94" s="25"/>
      <c r="I94" s="25"/>
      <c r="J94" s="25"/>
      <c r="K94" s="11">
        <f>L94/L$108</f>
        <v>0.06584292443210578</v>
      </c>
      <c r="L94" s="12">
        <f>SUM(J95:J102)</f>
        <v>2639.8521778978516</v>
      </c>
      <c r="N94" s="25"/>
      <c r="O94" s="25"/>
      <c r="P94" s="25"/>
      <c r="Q94" s="25"/>
      <c r="R94" s="25"/>
      <c r="S94" s="25"/>
      <c r="T94" s="25"/>
      <c r="U94" s="25"/>
      <c r="V94" s="25"/>
      <c r="W94" s="12">
        <f>SUM(U95:U102)</f>
        <v>50.23234480839208</v>
      </c>
      <c r="Y94" s="25"/>
      <c r="Z94" s="25"/>
      <c r="AA94" s="25"/>
      <c r="AB94" s="25"/>
      <c r="AC94" s="25"/>
      <c r="AD94" s="25"/>
      <c r="AE94" s="25"/>
      <c r="AF94" s="25"/>
      <c r="AG94" s="25"/>
      <c r="AH94" s="12">
        <f>SUM(AF95:AF102)</f>
        <v>114.68755898093855</v>
      </c>
      <c r="AJ94" s="25"/>
      <c r="AK94" s="25"/>
      <c r="AL94" s="25"/>
      <c r="AM94" s="25"/>
      <c r="AN94" s="25"/>
      <c r="AO94" s="25"/>
      <c r="AP94" s="25"/>
      <c r="AQ94" s="25"/>
      <c r="AR94" s="25"/>
      <c r="AS94" s="12">
        <f>SUM(AQ95:AQ102)</f>
        <v>136.36902866260095</v>
      </c>
      <c r="AU94" s="25"/>
      <c r="AV94" s="25"/>
      <c r="AW94" s="25"/>
      <c r="AX94" s="25"/>
      <c r="AY94" s="25"/>
      <c r="AZ94" s="25"/>
      <c r="BA94" s="25"/>
      <c r="BB94" s="25"/>
      <c r="BC94" s="25"/>
      <c r="BD94" s="12">
        <f>SUM(BB95:BB102)</f>
        <v>2338.56324544592</v>
      </c>
    </row>
    <row r="95" spans="1:55" ht="12.75">
      <c r="A95" s="13">
        <v>8.1</v>
      </c>
      <c r="B95" s="19" t="s">
        <v>986</v>
      </c>
      <c r="C95" s="14">
        <f aca="true" t="shared" si="92" ref="C95:C102">SUM(N95,Y95,AJ95,AU95)</f>
        <v>4040</v>
      </c>
      <c r="D95" s="15">
        <f aca="true" t="shared" si="93" ref="D95:D102">SUM(O95,Z95,AK95,AV95)</f>
        <v>2.2444444444444445</v>
      </c>
      <c r="E95" s="14">
        <f aca="true" t="shared" si="94" ref="E95:E102">SUM(P95,AA95,AL95,AW95)</f>
        <v>0</v>
      </c>
      <c r="F95" s="14">
        <f aca="true" t="shared" si="95" ref="F95:F102">SUM(Q95,AB95,AM95,AX95)</f>
        <v>220.14827555555553</v>
      </c>
      <c r="G95" s="14">
        <f aca="true" t="shared" si="96" ref="G95:G102">SUM(R95,AC95,AN95,AY95)</f>
        <v>20.6</v>
      </c>
      <c r="H95" s="14">
        <f aca="true" t="shared" si="97" ref="H95:H102">SUM(S95,AD95,AO95,AZ95)</f>
        <v>0</v>
      </c>
      <c r="I95" s="14">
        <f aca="true" t="shared" si="98" ref="I95:I102">SUM(T95,AE95,AP95,BA95)</f>
        <v>85.31302882681872</v>
      </c>
      <c r="J95" s="14">
        <f aca="true" t="shared" si="99" ref="J95:J102">SUM(F95:I95)</f>
        <v>326.06130438237426</v>
      </c>
      <c r="K95" s="22"/>
      <c r="N95" s="14">
        <v>120</v>
      </c>
      <c r="O95" s="15">
        <f aca="true" t="shared" si="100" ref="O95:O107">N95/1800</f>
        <v>0.06666666666666667</v>
      </c>
      <c r="P95" s="14">
        <v>0</v>
      </c>
      <c r="Q95" s="14">
        <v>7.63258888888889</v>
      </c>
      <c r="R95" s="14">
        <v>0</v>
      </c>
      <c r="S95" s="14">
        <v>0</v>
      </c>
      <c r="T95" s="14">
        <v>0.7632589002623327</v>
      </c>
      <c r="U95" s="14">
        <f aca="true" t="shared" si="101" ref="U95:U102">SUM(Q95:T95)</f>
        <v>8.395847789151222</v>
      </c>
      <c r="V95" s="16">
        <f t="shared" si="87"/>
        <v>0.025749292161652386</v>
      </c>
      <c r="Y95" s="14">
        <v>480</v>
      </c>
      <c r="Z95" s="15">
        <f aca="true" t="shared" si="102" ref="Z95:Z107">Y95/1800</f>
        <v>0.26666666666666666</v>
      </c>
      <c r="AA95" s="14">
        <v>0</v>
      </c>
      <c r="AB95" s="14">
        <v>26.744666666666664</v>
      </c>
      <c r="AC95" s="14">
        <v>0</v>
      </c>
      <c r="AD95" s="14">
        <v>0</v>
      </c>
      <c r="AE95" s="14">
        <v>2.674466706519325</v>
      </c>
      <c r="AF95" s="14">
        <f aca="true" t="shared" si="103" ref="AF95:AF102">SUM(AB95:AE95)</f>
        <v>29.41913337318599</v>
      </c>
      <c r="AG95" s="16">
        <f t="shared" si="88"/>
        <v>0.09022577342905423</v>
      </c>
      <c r="AJ95" s="14">
        <v>40</v>
      </c>
      <c r="AK95" s="15">
        <f aca="true" t="shared" si="104" ref="AK95:AK107">AJ95/1800</f>
        <v>0.022222222222222223</v>
      </c>
      <c r="AL95" s="14">
        <v>0</v>
      </c>
      <c r="AM95" s="14">
        <v>2.2436866666666666</v>
      </c>
      <c r="AN95" s="14">
        <v>0</v>
      </c>
      <c r="AO95" s="14">
        <v>0</v>
      </c>
      <c r="AP95" s="14">
        <v>0.2243686700100203</v>
      </c>
      <c r="AQ95" s="14">
        <f aca="true" t="shared" si="105" ref="AQ95:AQ102">SUM(AM95:AP95)</f>
        <v>2.468055336676687</v>
      </c>
      <c r="AR95" s="16">
        <f t="shared" si="89"/>
        <v>0.007569298483153898</v>
      </c>
      <c r="AU95" s="14">
        <v>3400</v>
      </c>
      <c r="AV95" s="15">
        <f aca="true" t="shared" si="106" ref="AV95:AV107">AU95/1800</f>
        <v>1.8888888888888888</v>
      </c>
      <c r="AW95" s="14">
        <v>0</v>
      </c>
      <c r="AX95" s="14">
        <v>183.5273333333333</v>
      </c>
      <c r="AY95" s="14">
        <v>20.6</v>
      </c>
      <c r="AZ95" s="14">
        <v>0</v>
      </c>
      <c r="BA95" s="14">
        <v>81.65093455002705</v>
      </c>
      <c r="BB95" s="14">
        <f aca="true" t="shared" si="107" ref="BB95:BB107">SUM(AX95:BA95)</f>
        <v>285.77826788336034</v>
      </c>
      <c r="BC95" s="16">
        <f t="shared" si="90"/>
        <v>0.8764556359261394</v>
      </c>
    </row>
    <row r="96" spans="1:55" ht="12.75">
      <c r="A96" s="13">
        <v>8.2</v>
      </c>
      <c r="B96" s="13" t="s">
        <v>987</v>
      </c>
      <c r="C96" s="14">
        <f t="shared" si="92"/>
        <v>1040</v>
      </c>
      <c r="D96" s="15">
        <f t="shared" si="93"/>
        <v>0.5777777777777777</v>
      </c>
      <c r="E96" s="14">
        <f t="shared" si="94"/>
        <v>0</v>
      </c>
      <c r="F96" s="14">
        <f t="shared" si="95"/>
        <v>46.773955555555546</v>
      </c>
      <c r="G96" s="14">
        <f t="shared" si="96"/>
        <v>40.17</v>
      </c>
      <c r="H96" s="14">
        <f t="shared" si="97"/>
        <v>0</v>
      </c>
      <c r="I96" s="14">
        <f t="shared" si="98"/>
        <v>17.38879137022429</v>
      </c>
      <c r="J96" s="14">
        <f t="shared" si="99"/>
        <v>104.33274692577984</v>
      </c>
      <c r="K96" s="22"/>
      <c r="N96" s="14">
        <v>0</v>
      </c>
      <c r="O96" s="15">
        <f t="shared" si="100"/>
        <v>0</v>
      </c>
      <c r="P96" s="14">
        <v>0</v>
      </c>
      <c r="Q96" s="14">
        <v>0</v>
      </c>
      <c r="R96" s="14">
        <v>0</v>
      </c>
      <c r="S96" s="14">
        <v>0</v>
      </c>
      <c r="T96" s="14">
        <v>0</v>
      </c>
      <c r="U96" s="14">
        <f t="shared" si="101"/>
        <v>0</v>
      </c>
      <c r="V96" s="16">
        <f t="shared" si="87"/>
        <v>0</v>
      </c>
      <c r="Y96" s="14">
        <v>0</v>
      </c>
      <c r="Z96" s="15">
        <f t="shared" si="102"/>
        <v>0</v>
      </c>
      <c r="AA96" s="14">
        <v>0</v>
      </c>
      <c r="AB96" s="14">
        <v>0</v>
      </c>
      <c r="AC96" s="14">
        <v>0</v>
      </c>
      <c r="AD96" s="14">
        <v>0</v>
      </c>
      <c r="AE96" s="14">
        <v>0</v>
      </c>
      <c r="AF96" s="14">
        <f t="shared" si="103"/>
        <v>0</v>
      </c>
      <c r="AG96" s="16">
        <f t="shared" si="88"/>
        <v>0</v>
      </c>
      <c r="AJ96" s="14">
        <v>0</v>
      </c>
      <c r="AK96" s="15">
        <f t="shared" si="104"/>
        <v>0</v>
      </c>
      <c r="AL96" s="14">
        <v>0</v>
      </c>
      <c r="AM96" s="14">
        <v>0</v>
      </c>
      <c r="AN96" s="14">
        <v>0</v>
      </c>
      <c r="AO96" s="14">
        <v>0</v>
      </c>
      <c r="AP96" s="14">
        <v>0</v>
      </c>
      <c r="AQ96" s="14">
        <f t="shared" si="105"/>
        <v>0</v>
      </c>
      <c r="AR96" s="16">
        <f t="shared" si="89"/>
        <v>0</v>
      </c>
      <c r="AU96" s="14">
        <v>1040</v>
      </c>
      <c r="AV96" s="15">
        <f t="shared" si="106"/>
        <v>0.5777777777777777</v>
      </c>
      <c r="AW96" s="14">
        <v>0</v>
      </c>
      <c r="AX96" s="14">
        <v>46.773955555555546</v>
      </c>
      <c r="AY96" s="14">
        <v>40.17</v>
      </c>
      <c r="AZ96" s="14">
        <v>0</v>
      </c>
      <c r="BA96" s="14">
        <v>17.38879137022429</v>
      </c>
      <c r="BB96" s="14">
        <f t="shared" si="107"/>
        <v>104.33274692577984</v>
      </c>
      <c r="BC96" s="16">
        <f t="shared" si="90"/>
        <v>1</v>
      </c>
    </row>
    <row r="97" spans="1:55" ht="12.75">
      <c r="A97" s="13">
        <v>8.3</v>
      </c>
      <c r="B97" s="13" t="s">
        <v>17</v>
      </c>
      <c r="C97" s="14">
        <f t="shared" si="92"/>
        <v>1100</v>
      </c>
      <c r="D97" s="15">
        <f t="shared" si="93"/>
        <v>0.6111111111111112</v>
      </c>
      <c r="E97" s="14">
        <f t="shared" si="94"/>
        <v>0</v>
      </c>
      <c r="F97" s="14">
        <f t="shared" si="95"/>
        <v>51.86758888888889</v>
      </c>
      <c r="G97" s="14">
        <f t="shared" si="96"/>
        <v>40.685</v>
      </c>
      <c r="H97" s="14">
        <f t="shared" si="97"/>
        <v>0</v>
      </c>
      <c r="I97" s="14">
        <f t="shared" si="98"/>
        <v>24.06367222846084</v>
      </c>
      <c r="J97" s="14">
        <f t="shared" si="99"/>
        <v>116.61626111734974</v>
      </c>
      <c r="K97" s="22"/>
      <c r="N97" s="14">
        <v>0</v>
      </c>
      <c r="O97" s="15">
        <f t="shared" si="100"/>
        <v>0</v>
      </c>
      <c r="P97" s="14">
        <v>0</v>
      </c>
      <c r="Q97" s="14">
        <v>0</v>
      </c>
      <c r="R97" s="14">
        <v>0</v>
      </c>
      <c r="S97" s="14">
        <v>0</v>
      </c>
      <c r="T97" s="14">
        <v>0</v>
      </c>
      <c r="U97" s="14">
        <f t="shared" si="101"/>
        <v>0</v>
      </c>
      <c r="V97" s="16">
        <f t="shared" si="87"/>
        <v>0</v>
      </c>
      <c r="Y97" s="14">
        <v>0</v>
      </c>
      <c r="Z97" s="15">
        <f t="shared" si="102"/>
        <v>0</v>
      </c>
      <c r="AA97" s="14">
        <v>0</v>
      </c>
      <c r="AB97" s="14">
        <v>0</v>
      </c>
      <c r="AC97" s="14">
        <v>0</v>
      </c>
      <c r="AD97" s="14">
        <v>0</v>
      </c>
      <c r="AE97" s="14">
        <v>0</v>
      </c>
      <c r="AF97" s="14">
        <f t="shared" si="103"/>
        <v>0</v>
      </c>
      <c r="AG97" s="16">
        <f t="shared" si="88"/>
        <v>0</v>
      </c>
      <c r="AJ97" s="14">
        <v>0</v>
      </c>
      <c r="AK97" s="15">
        <f t="shared" si="104"/>
        <v>0</v>
      </c>
      <c r="AL97" s="14">
        <v>0</v>
      </c>
      <c r="AM97" s="14">
        <v>0</v>
      </c>
      <c r="AN97" s="14">
        <v>0</v>
      </c>
      <c r="AO97" s="14">
        <v>0</v>
      </c>
      <c r="AP97" s="14">
        <v>0</v>
      </c>
      <c r="AQ97" s="14">
        <f t="shared" si="105"/>
        <v>0</v>
      </c>
      <c r="AR97" s="16">
        <f t="shared" si="89"/>
        <v>0</v>
      </c>
      <c r="AU97" s="14">
        <v>1100</v>
      </c>
      <c r="AV97" s="15">
        <f t="shared" si="106"/>
        <v>0.6111111111111112</v>
      </c>
      <c r="AW97" s="14">
        <v>0</v>
      </c>
      <c r="AX97" s="14">
        <v>51.86758888888889</v>
      </c>
      <c r="AY97" s="14">
        <v>40.685</v>
      </c>
      <c r="AZ97" s="14">
        <v>0</v>
      </c>
      <c r="BA97" s="14">
        <v>24.06367222846084</v>
      </c>
      <c r="BB97" s="14">
        <f t="shared" si="107"/>
        <v>116.61626111734974</v>
      </c>
      <c r="BC97" s="16">
        <f t="shared" si="90"/>
        <v>1</v>
      </c>
    </row>
    <row r="98" spans="1:55" ht="12.75">
      <c r="A98" s="13">
        <v>8.4</v>
      </c>
      <c r="B98" s="13" t="s">
        <v>989</v>
      </c>
      <c r="C98" s="14">
        <f t="shared" si="92"/>
        <v>6170</v>
      </c>
      <c r="D98" s="15">
        <f t="shared" si="93"/>
        <v>3.4277777777777776</v>
      </c>
      <c r="E98" s="14">
        <f t="shared" si="94"/>
        <v>4</v>
      </c>
      <c r="F98" s="14">
        <f t="shared" si="95"/>
        <v>399.10653958333364</v>
      </c>
      <c r="G98" s="14">
        <f t="shared" si="96"/>
        <v>10.3</v>
      </c>
      <c r="H98" s="14">
        <f t="shared" si="97"/>
        <v>27.55694140625</v>
      </c>
      <c r="I98" s="14">
        <f t="shared" si="98"/>
        <v>92.7978149127216</v>
      </c>
      <c r="J98" s="14">
        <f t="shared" si="99"/>
        <v>529.7612959023053</v>
      </c>
      <c r="K98" s="22"/>
      <c r="N98" s="14">
        <v>170</v>
      </c>
      <c r="O98" s="15">
        <f t="shared" si="100"/>
        <v>0.09444444444444444</v>
      </c>
      <c r="P98" s="14">
        <v>0</v>
      </c>
      <c r="Q98" s="14">
        <v>10.857244444444445</v>
      </c>
      <c r="R98" s="14">
        <v>0</v>
      </c>
      <c r="S98" s="14">
        <v>0</v>
      </c>
      <c r="T98" s="14">
        <v>0.8685795361412896</v>
      </c>
      <c r="U98" s="14">
        <f t="shared" si="101"/>
        <v>11.725823980585735</v>
      </c>
      <c r="V98" s="16">
        <f t="shared" si="87"/>
        <v>0.022134165087719294</v>
      </c>
      <c r="Y98" s="14">
        <v>100</v>
      </c>
      <c r="Z98" s="15">
        <f t="shared" si="102"/>
        <v>0.05555555555555555</v>
      </c>
      <c r="AA98" s="14">
        <v>0</v>
      </c>
      <c r="AB98" s="14">
        <v>6.764744444444444</v>
      </c>
      <c r="AC98" s="14">
        <v>0</v>
      </c>
      <c r="AD98" s="14">
        <v>0</v>
      </c>
      <c r="AE98" s="14">
        <v>0.5411795434592499</v>
      </c>
      <c r="AF98" s="14">
        <f t="shared" si="103"/>
        <v>7.305923987903694</v>
      </c>
      <c r="AG98" s="16">
        <f t="shared" si="88"/>
        <v>0.013790973490164142</v>
      </c>
      <c r="AJ98" s="14">
        <v>180</v>
      </c>
      <c r="AK98" s="15">
        <f t="shared" si="104"/>
        <v>0.1</v>
      </c>
      <c r="AL98" s="14">
        <v>0</v>
      </c>
      <c r="AM98" s="14">
        <v>10.78416111111111</v>
      </c>
      <c r="AN98" s="14">
        <v>0</v>
      </c>
      <c r="AO98" s="14">
        <v>0</v>
      </c>
      <c r="AP98" s="14">
        <v>0.862732869605306</v>
      </c>
      <c r="AQ98" s="14">
        <f t="shared" si="105"/>
        <v>11.646893980716417</v>
      </c>
      <c r="AR98" s="16">
        <f t="shared" si="89"/>
        <v>0.02198517345605454</v>
      </c>
      <c r="AU98" s="233">
        <f>6400-400-280</f>
        <v>5720</v>
      </c>
      <c r="AV98" s="15">
        <f t="shared" si="106"/>
        <v>3.1777777777777776</v>
      </c>
      <c r="AW98" s="14">
        <v>4</v>
      </c>
      <c r="AX98" s="233">
        <f>414.769666666667*AU98/6400</f>
        <v>370.7003895833336</v>
      </c>
      <c r="AY98" s="14">
        <v>10.3</v>
      </c>
      <c r="AZ98" s="14">
        <v>27.55694140625</v>
      </c>
      <c r="BA98" s="233">
        <v>90.52532296351576</v>
      </c>
      <c r="BB98" s="14">
        <f t="shared" si="107"/>
        <v>499.0826539530994</v>
      </c>
      <c r="BC98" s="16">
        <f t="shared" si="90"/>
        <v>0.942089687966062</v>
      </c>
    </row>
    <row r="99" spans="1:55" ht="12.75">
      <c r="A99" s="13">
        <v>8.5</v>
      </c>
      <c r="B99" s="19" t="s">
        <v>990</v>
      </c>
      <c r="C99" s="14">
        <f t="shared" si="92"/>
        <v>3116</v>
      </c>
      <c r="D99" s="15">
        <f t="shared" si="93"/>
        <v>1.731111111111111</v>
      </c>
      <c r="E99" s="14">
        <f t="shared" si="94"/>
        <v>0</v>
      </c>
      <c r="F99" s="14">
        <f t="shared" si="95"/>
        <v>190.46033333333318</v>
      </c>
      <c r="G99" s="14">
        <f t="shared" si="96"/>
        <v>0</v>
      </c>
      <c r="H99" s="14">
        <f t="shared" si="97"/>
        <v>0</v>
      </c>
      <c r="I99" s="14">
        <f t="shared" si="98"/>
        <v>47.45063816966649</v>
      </c>
      <c r="J99" s="14">
        <f t="shared" si="99"/>
        <v>237.91097150299967</v>
      </c>
      <c r="K99" s="22"/>
      <c r="N99" s="14">
        <v>212</v>
      </c>
      <c r="O99" s="15">
        <f t="shared" si="100"/>
        <v>0.11777777777777777</v>
      </c>
      <c r="P99" s="14">
        <v>0</v>
      </c>
      <c r="Q99" s="14">
        <v>16.206546666666664</v>
      </c>
      <c r="R99" s="14">
        <v>0</v>
      </c>
      <c r="S99" s="14">
        <v>0</v>
      </c>
      <c r="T99" s="14">
        <v>1.2965237043537696</v>
      </c>
      <c r="U99" s="14">
        <f t="shared" si="101"/>
        <v>17.503070371020435</v>
      </c>
      <c r="V99" s="16">
        <f t="shared" si="87"/>
        <v>0.07356983270021135</v>
      </c>
      <c r="Y99" s="14">
        <v>176</v>
      </c>
      <c r="Z99" s="15">
        <f t="shared" si="102"/>
        <v>0.09777777777777778</v>
      </c>
      <c r="AA99" s="14">
        <v>0</v>
      </c>
      <c r="AB99" s="14">
        <v>13.18472888888889</v>
      </c>
      <c r="AC99" s="14">
        <v>0</v>
      </c>
      <c r="AD99" s="14">
        <v>0</v>
      </c>
      <c r="AE99" s="14">
        <v>1.0547782875349787</v>
      </c>
      <c r="AF99" s="14">
        <f t="shared" si="103"/>
        <v>14.239507176423867</v>
      </c>
      <c r="AG99" s="16">
        <f t="shared" si="88"/>
        <v>0.059852250976346125</v>
      </c>
      <c r="AJ99" s="14">
        <v>0</v>
      </c>
      <c r="AK99" s="15">
        <f t="shared" si="104"/>
        <v>0</v>
      </c>
      <c r="AL99" s="14">
        <v>0</v>
      </c>
      <c r="AM99" s="14">
        <v>0</v>
      </c>
      <c r="AN99" s="14">
        <v>0</v>
      </c>
      <c r="AO99" s="14">
        <v>0</v>
      </c>
      <c r="AP99" s="14">
        <v>0</v>
      </c>
      <c r="AQ99" s="14">
        <f t="shared" si="105"/>
        <v>0</v>
      </c>
      <c r="AR99" s="16">
        <f t="shared" si="89"/>
        <v>0</v>
      </c>
      <c r="AU99" s="233">
        <f>3410*0.8</f>
        <v>2728</v>
      </c>
      <c r="AV99" s="15">
        <f t="shared" si="106"/>
        <v>1.5155555555555555</v>
      </c>
      <c r="AW99" s="14">
        <v>0</v>
      </c>
      <c r="AX99" s="233">
        <f>201.336322222222*0.8</f>
        <v>161.06905777777763</v>
      </c>
      <c r="AY99" s="14">
        <v>0</v>
      </c>
      <c r="AZ99" s="14">
        <v>0</v>
      </c>
      <c r="BA99" s="233">
        <f>SUM(AX99:AZ99)*0.28</f>
        <v>45.099336177777744</v>
      </c>
      <c r="BB99" s="14">
        <f t="shared" si="107"/>
        <v>206.16839395555536</v>
      </c>
      <c r="BC99" s="16">
        <f t="shared" si="90"/>
        <v>0.8665779163234425</v>
      </c>
    </row>
    <row r="100" spans="1:55" ht="12.75">
      <c r="A100" s="13">
        <v>8.6</v>
      </c>
      <c r="B100" s="19" t="s">
        <v>991</v>
      </c>
      <c r="C100" s="14">
        <f t="shared" si="92"/>
        <v>5030</v>
      </c>
      <c r="D100" s="15">
        <f t="shared" si="93"/>
        <v>2.7944444444444447</v>
      </c>
      <c r="E100" s="14">
        <f t="shared" si="94"/>
        <v>12</v>
      </c>
      <c r="F100" s="14">
        <f t="shared" si="95"/>
        <v>401.14583333333337</v>
      </c>
      <c r="G100" s="14">
        <f t="shared" si="96"/>
        <v>0</v>
      </c>
      <c r="H100" s="14">
        <f t="shared" si="97"/>
        <v>49.5608203125</v>
      </c>
      <c r="I100" s="14">
        <f t="shared" si="98"/>
        <v>89.56366592196785</v>
      </c>
      <c r="J100" s="14">
        <f t="shared" si="99"/>
        <v>540.2703195678013</v>
      </c>
      <c r="K100" s="22"/>
      <c r="N100" s="14">
        <v>40</v>
      </c>
      <c r="O100" s="15">
        <f t="shared" si="100"/>
        <v>0.022222222222222223</v>
      </c>
      <c r="P100" s="14">
        <v>0</v>
      </c>
      <c r="Q100" s="14">
        <v>3.414311111111111</v>
      </c>
      <c r="R100" s="14">
        <v>0</v>
      </c>
      <c r="S100" s="14">
        <v>0</v>
      </c>
      <c r="T100" s="14">
        <v>0.30728801221052804</v>
      </c>
      <c r="U100" s="14">
        <f t="shared" si="101"/>
        <v>3.721599123321639</v>
      </c>
      <c r="V100" s="16">
        <f t="shared" si="87"/>
        <v>0.006888401950895243</v>
      </c>
      <c r="Y100" s="14">
        <v>200</v>
      </c>
      <c r="Z100" s="15">
        <f t="shared" si="102"/>
        <v>0.1111111111111111</v>
      </c>
      <c r="AA100" s="14">
        <v>0</v>
      </c>
      <c r="AB100" s="14">
        <v>18.64848888888889</v>
      </c>
      <c r="AC100" s="14">
        <v>0</v>
      </c>
      <c r="AD100" s="14">
        <v>0</v>
      </c>
      <c r="AE100" s="14">
        <v>1.6783640666921933</v>
      </c>
      <c r="AF100" s="14">
        <f t="shared" si="103"/>
        <v>20.32685295558108</v>
      </c>
      <c r="AG100" s="16">
        <f t="shared" si="88"/>
        <v>0.03762348627968663</v>
      </c>
      <c r="AJ100" s="14">
        <v>590</v>
      </c>
      <c r="AK100" s="15">
        <f t="shared" si="104"/>
        <v>0.3277777777777778</v>
      </c>
      <c r="AL100" s="14">
        <v>0</v>
      </c>
      <c r="AM100" s="14">
        <v>46.23105555555556</v>
      </c>
      <c r="AN100" s="14">
        <v>0</v>
      </c>
      <c r="AO100" s="14">
        <v>0</v>
      </c>
      <c r="AP100" s="14">
        <v>11.095453085330625</v>
      </c>
      <c r="AQ100" s="14">
        <f t="shared" si="105"/>
        <v>57.32650864088618</v>
      </c>
      <c r="AR100" s="16">
        <f t="shared" si="89"/>
        <v>0.10610708485105295</v>
      </c>
      <c r="AU100" s="14">
        <v>4200</v>
      </c>
      <c r="AV100" s="15">
        <f t="shared" si="106"/>
        <v>2.3333333333333335</v>
      </c>
      <c r="AW100" s="14">
        <v>12</v>
      </c>
      <c r="AX100" s="14">
        <v>332.8519777777778</v>
      </c>
      <c r="AY100" s="14">
        <v>0</v>
      </c>
      <c r="AZ100" s="14">
        <v>49.5608203125</v>
      </c>
      <c r="BA100" s="14">
        <v>76.4825607577345</v>
      </c>
      <c r="BB100" s="14">
        <f t="shared" si="107"/>
        <v>458.8953588480123</v>
      </c>
      <c r="BC100" s="16">
        <f t="shared" si="90"/>
        <v>0.849381026918365</v>
      </c>
    </row>
    <row r="101" spans="1:55" ht="12.75">
      <c r="A101" s="13">
        <v>8.7</v>
      </c>
      <c r="B101" s="13" t="s">
        <v>992</v>
      </c>
      <c r="C101" s="14">
        <f t="shared" si="92"/>
        <v>3760</v>
      </c>
      <c r="D101" s="15">
        <f t="shared" si="93"/>
        <v>2.088888888888889</v>
      </c>
      <c r="E101" s="14">
        <f t="shared" si="94"/>
        <v>27</v>
      </c>
      <c r="F101" s="14">
        <f t="shared" si="95"/>
        <v>265.49084444444446</v>
      </c>
      <c r="G101" s="14">
        <f t="shared" si="96"/>
        <v>0</v>
      </c>
      <c r="H101" s="14">
        <f t="shared" si="97"/>
        <v>148.07684375</v>
      </c>
      <c r="I101" s="14">
        <f t="shared" si="98"/>
        <v>123.76395403342691</v>
      </c>
      <c r="J101" s="14">
        <f t="shared" si="99"/>
        <v>537.3316422278714</v>
      </c>
      <c r="K101" s="22"/>
      <c r="N101" s="14">
        <v>0</v>
      </c>
      <c r="O101" s="15">
        <f t="shared" si="100"/>
        <v>0</v>
      </c>
      <c r="P101" s="14">
        <v>0</v>
      </c>
      <c r="Q101" s="14">
        <v>0</v>
      </c>
      <c r="R101" s="14">
        <v>0</v>
      </c>
      <c r="S101" s="14">
        <v>0</v>
      </c>
      <c r="T101" s="14">
        <v>0</v>
      </c>
      <c r="U101" s="14">
        <f t="shared" si="101"/>
        <v>0</v>
      </c>
      <c r="V101" s="16">
        <f t="shared" si="87"/>
        <v>0</v>
      </c>
      <c r="Y101" s="14">
        <v>40</v>
      </c>
      <c r="Z101" s="15">
        <f t="shared" si="102"/>
        <v>0.022222222222222223</v>
      </c>
      <c r="AA101" s="14">
        <v>0</v>
      </c>
      <c r="AB101" s="14">
        <v>1.9147333333333334</v>
      </c>
      <c r="AC101" s="14">
        <v>0</v>
      </c>
      <c r="AD101" s="14">
        <v>0</v>
      </c>
      <c r="AE101" s="14">
        <v>0.2680626678079367</v>
      </c>
      <c r="AF101" s="14">
        <f t="shared" si="103"/>
        <v>2.18279600114127</v>
      </c>
      <c r="AG101" s="16">
        <f t="shared" si="88"/>
        <v>0.004062288221276183</v>
      </c>
      <c r="AJ101" s="14">
        <v>0</v>
      </c>
      <c r="AK101" s="15">
        <f t="shared" si="104"/>
        <v>0</v>
      </c>
      <c r="AL101" s="14">
        <v>0</v>
      </c>
      <c r="AM101" s="14">
        <v>0</v>
      </c>
      <c r="AN101" s="14">
        <v>0</v>
      </c>
      <c r="AO101" s="14">
        <v>0</v>
      </c>
      <c r="AP101" s="14">
        <v>0</v>
      </c>
      <c r="AQ101" s="14">
        <f t="shared" si="105"/>
        <v>0</v>
      </c>
      <c r="AR101" s="16">
        <f t="shared" si="89"/>
        <v>0</v>
      </c>
      <c r="AU101" s="14">
        <v>3720</v>
      </c>
      <c r="AV101" s="15">
        <f t="shared" si="106"/>
        <v>2.066666666666667</v>
      </c>
      <c r="AW101" s="14">
        <v>27</v>
      </c>
      <c r="AX101" s="14">
        <v>263.5761111111111</v>
      </c>
      <c r="AY101" s="14">
        <v>0</v>
      </c>
      <c r="AZ101" s="14">
        <v>148.07684375</v>
      </c>
      <c r="BA101" s="14">
        <v>123.49589136561897</v>
      </c>
      <c r="BB101" s="14">
        <f t="shared" si="107"/>
        <v>535.14884622673</v>
      </c>
      <c r="BC101" s="16">
        <f t="shared" si="90"/>
        <v>0.9959377117787237</v>
      </c>
    </row>
    <row r="102" spans="1:55" ht="12.75">
      <c r="A102" s="13">
        <v>8.8</v>
      </c>
      <c r="B102" s="19" t="s">
        <v>993</v>
      </c>
      <c r="C102" s="14">
        <f t="shared" si="92"/>
        <v>2420</v>
      </c>
      <c r="D102" s="15">
        <f t="shared" si="93"/>
        <v>1.3444444444444446</v>
      </c>
      <c r="E102" s="14">
        <f t="shared" si="94"/>
        <v>17</v>
      </c>
      <c r="F102" s="14">
        <f t="shared" si="95"/>
        <v>150.49004444444444</v>
      </c>
      <c r="G102" s="14">
        <f t="shared" si="96"/>
        <v>0</v>
      </c>
      <c r="H102" s="14">
        <f t="shared" si="97"/>
        <v>64.11949755859375</v>
      </c>
      <c r="I102" s="14">
        <f t="shared" si="98"/>
        <v>32.95809426833219</v>
      </c>
      <c r="J102" s="14">
        <f t="shared" si="99"/>
        <v>247.5676362713704</v>
      </c>
      <c r="K102" s="22"/>
      <c r="N102" s="14">
        <v>80</v>
      </c>
      <c r="O102" s="15">
        <f t="shared" si="100"/>
        <v>0.044444444444444446</v>
      </c>
      <c r="P102" s="14">
        <v>0</v>
      </c>
      <c r="Q102" s="14">
        <v>8.383022222222221</v>
      </c>
      <c r="R102" s="14">
        <v>0</v>
      </c>
      <c r="S102" s="14">
        <v>0</v>
      </c>
      <c r="T102" s="14">
        <v>0.5029813220908245</v>
      </c>
      <c r="U102" s="14">
        <f t="shared" si="101"/>
        <v>8.886003544313047</v>
      </c>
      <c r="V102" s="16">
        <f t="shared" si="87"/>
        <v>0.035893235796672085</v>
      </c>
      <c r="Y102" s="14">
        <v>460</v>
      </c>
      <c r="Z102" s="15">
        <f t="shared" si="102"/>
        <v>0.25555555555555554</v>
      </c>
      <c r="AA102" s="14">
        <v>2</v>
      </c>
      <c r="AB102" s="14">
        <v>31.337044444444444</v>
      </c>
      <c r="AC102" s="14">
        <v>0</v>
      </c>
      <c r="AD102" s="14">
        <v>7.54347021484375</v>
      </c>
      <c r="AE102" s="14">
        <v>2.3328308274144582</v>
      </c>
      <c r="AF102" s="14">
        <f t="shared" si="103"/>
        <v>41.21334548670265</v>
      </c>
      <c r="AG102" s="16">
        <f t="shared" si="88"/>
        <v>0.16647307421688506</v>
      </c>
      <c r="AJ102" s="14">
        <v>600</v>
      </c>
      <c r="AK102" s="15">
        <f t="shared" si="104"/>
        <v>0.3333333333333333</v>
      </c>
      <c r="AL102" s="14">
        <v>5</v>
      </c>
      <c r="AM102" s="14">
        <v>36.16468888888889</v>
      </c>
      <c r="AN102" s="14">
        <v>0</v>
      </c>
      <c r="AO102" s="14">
        <v>18.85867578125</v>
      </c>
      <c r="AP102" s="14">
        <v>9.904206034182772</v>
      </c>
      <c r="AQ102" s="14">
        <f t="shared" si="105"/>
        <v>64.92757070432167</v>
      </c>
      <c r="AR102" s="16">
        <f t="shared" si="89"/>
        <v>0.2622619486222001</v>
      </c>
      <c r="AU102" s="14">
        <v>1280</v>
      </c>
      <c r="AV102" s="15">
        <f t="shared" si="106"/>
        <v>0.7111111111111111</v>
      </c>
      <c r="AW102" s="14">
        <v>10</v>
      </c>
      <c r="AX102" s="14">
        <v>74.6052888888889</v>
      </c>
      <c r="AY102" s="14">
        <v>0</v>
      </c>
      <c r="AZ102" s="14">
        <v>37.7173515625</v>
      </c>
      <c r="BA102" s="14">
        <v>20.218076084644135</v>
      </c>
      <c r="BB102" s="14">
        <f t="shared" si="107"/>
        <v>132.54071653603302</v>
      </c>
      <c r="BC102" s="16">
        <f t="shared" si="90"/>
        <v>0.5353717413642427</v>
      </c>
    </row>
    <row r="103" spans="1:56" ht="12.75">
      <c r="A103" s="8">
        <v>9</v>
      </c>
      <c r="B103" s="9" t="s">
        <v>994</v>
      </c>
      <c r="C103" s="25"/>
      <c r="D103" s="25"/>
      <c r="E103" s="25"/>
      <c r="F103" s="25"/>
      <c r="G103" s="25"/>
      <c r="H103" s="25"/>
      <c r="I103" s="25"/>
      <c r="J103" s="25"/>
      <c r="K103" s="11">
        <f>L103/L$108</f>
        <v>0.01871882737984952</v>
      </c>
      <c r="L103" s="12">
        <f>SUM(J104:J107)</f>
        <v>750.497303280387</v>
      </c>
      <c r="N103" s="25"/>
      <c r="O103" s="25"/>
      <c r="P103" s="25"/>
      <c r="Q103" s="25"/>
      <c r="R103" s="25"/>
      <c r="S103" s="25"/>
      <c r="T103" s="25"/>
      <c r="U103" s="25"/>
      <c r="V103" s="25"/>
      <c r="W103" s="12">
        <f>SUM(U104:U107)</f>
        <v>15.026651161514867</v>
      </c>
      <c r="Y103" s="25"/>
      <c r="Z103" s="25"/>
      <c r="AA103" s="25"/>
      <c r="AB103" s="25"/>
      <c r="AC103" s="25"/>
      <c r="AD103" s="25"/>
      <c r="AE103" s="25"/>
      <c r="AF103" s="25"/>
      <c r="AG103" s="25"/>
      <c r="AH103" s="12">
        <f>SUM(AF104:AF107)</f>
        <v>21.838346591164992</v>
      </c>
      <c r="AJ103" s="25"/>
      <c r="AK103" s="25"/>
      <c r="AL103" s="25"/>
      <c r="AM103" s="25"/>
      <c r="AN103" s="25"/>
      <c r="AO103" s="25"/>
      <c r="AP103" s="25"/>
      <c r="AQ103" s="25"/>
      <c r="AR103" s="25"/>
      <c r="AS103" s="12">
        <f>SUM(AQ104:AQ107)</f>
        <v>636.4099878415005</v>
      </c>
      <c r="AU103" s="25"/>
      <c r="AV103" s="25"/>
      <c r="AW103" s="25"/>
      <c r="AX103" s="25"/>
      <c r="AY103" s="25"/>
      <c r="AZ103" s="25"/>
      <c r="BA103" s="25"/>
      <c r="BB103" s="25"/>
      <c r="BC103" s="25"/>
      <c r="BD103" s="12">
        <f>SUM(BB104:BB107)</f>
        <v>77.22231768620651</v>
      </c>
    </row>
    <row r="104" spans="1:55" ht="12.75">
      <c r="A104" s="13">
        <v>9.1</v>
      </c>
      <c r="B104" s="19" t="s">
        <v>995</v>
      </c>
      <c r="C104" s="14">
        <f aca="true" t="shared" si="108" ref="C104:I104">SUM(N104,Y104,AJ104,AU104)</f>
        <v>636</v>
      </c>
      <c r="D104" s="15">
        <f t="shared" si="108"/>
        <v>0.35333333333333333</v>
      </c>
      <c r="E104" s="14">
        <f t="shared" si="108"/>
        <v>0</v>
      </c>
      <c r="F104" s="14">
        <f t="shared" si="108"/>
        <v>42.95816444444444</v>
      </c>
      <c r="G104" s="14">
        <f t="shared" si="108"/>
        <v>515</v>
      </c>
      <c r="H104" s="14">
        <f t="shared" si="108"/>
        <v>0</v>
      </c>
      <c r="I104" s="14">
        <f t="shared" si="108"/>
        <v>80.7287508546174</v>
      </c>
      <c r="J104" s="14">
        <f>SUM(F104:I104)</f>
        <v>638.6869152990619</v>
      </c>
      <c r="K104" s="22"/>
      <c r="N104" s="14">
        <v>96</v>
      </c>
      <c r="O104" s="15">
        <f t="shared" si="100"/>
        <v>0.05333333333333334</v>
      </c>
      <c r="P104" s="14">
        <v>0</v>
      </c>
      <c r="Q104" s="14">
        <v>6.968853333333333</v>
      </c>
      <c r="R104" s="14">
        <v>0</v>
      </c>
      <c r="S104" s="14">
        <v>0</v>
      </c>
      <c r="T104" s="14">
        <v>0.20906559532701968</v>
      </c>
      <c r="U104" s="14">
        <f>SUM(Q104:T104)</f>
        <v>7.177918928660352</v>
      </c>
      <c r="V104" s="16">
        <f t="shared" si="87"/>
        <v>0.011238556414294675</v>
      </c>
      <c r="Y104" s="14">
        <v>108</v>
      </c>
      <c r="Z104" s="15">
        <f t="shared" si="102"/>
        <v>0.06</v>
      </c>
      <c r="AA104" s="14">
        <v>0</v>
      </c>
      <c r="AB104" s="14">
        <v>7.83996</v>
      </c>
      <c r="AC104" s="14">
        <v>0</v>
      </c>
      <c r="AD104" s="14">
        <v>0</v>
      </c>
      <c r="AE104" s="14">
        <v>0.23519879474289715</v>
      </c>
      <c r="AF104" s="14">
        <f>SUM(AB104:AE104)</f>
        <v>8.075158794742897</v>
      </c>
      <c r="AG104" s="16">
        <f t="shared" si="88"/>
        <v>0.012643375966081512</v>
      </c>
      <c r="AJ104" s="14">
        <v>216</v>
      </c>
      <c r="AK104" s="15">
        <f t="shared" si="104"/>
        <v>0.12</v>
      </c>
      <c r="AL104" s="14">
        <v>0</v>
      </c>
      <c r="AM104" s="14">
        <v>14.690964444444443</v>
      </c>
      <c r="AN104" s="14">
        <v>504.7</v>
      </c>
      <c r="AO104" s="14">
        <v>0</v>
      </c>
      <c r="AP104" s="14">
        <v>77.90864776247807</v>
      </c>
      <c r="AQ104" s="14">
        <f>SUM(AM104:AP104)</f>
        <v>597.2996122069225</v>
      </c>
      <c r="AR104" s="16">
        <f t="shared" si="89"/>
        <v>0.9351993878365897</v>
      </c>
      <c r="AU104" s="14">
        <v>216</v>
      </c>
      <c r="AV104" s="15">
        <f t="shared" si="106"/>
        <v>0.12</v>
      </c>
      <c r="AW104" s="14">
        <v>0</v>
      </c>
      <c r="AX104" s="14">
        <v>13.458386666666668</v>
      </c>
      <c r="AY104" s="14">
        <v>10.3</v>
      </c>
      <c r="AZ104" s="14">
        <v>0</v>
      </c>
      <c r="BA104" s="14">
        <v>2.375838702069421</v>
      </c>
      <c r="BB104" s="14">
        <f t="shared" si="107"/>
        <v>26.13422536873609</v>
      </c>
      <c r="BC104" s="16">
        <f t="shared" si="90"/>
        <v>0.040918679783034026</v>
      </c>
    </row>
    <row r="105" spans="1:55" ht="12.75">
      <c r="A105" s="13">
        <v>9.2</v>
      </c>
      <c r="B105" s="19" t="s">
        <v>996</v>
      </c>
      <c r="K105" s="22"/>
      <c r="V105" s="22"/>
      <c r="AG105" s="22"/>
      <c r="AR105" s="22"/>
      <c r="BC105" s="22"/>
    </row>
    <row r="106" spans="1:55" ht="12.75">
      <c r="A106" s="26" t="s">
        <v>997</v>
      </c>
      <c r="B106" s="19" t="s">
        <v>998</v>
      </c>
      <c r="C106" s="14">
        <f aca="true" t="shared" si="109" ref="C106:I107">SUM(N106,Y106,AJ106,AU106)</f>
        <v>520</v>
      </c>
      <c r="D106" s="15">
        <f t="shared" si="109"/>
        <v>0.28888888888888886</v>
      </c>
      <c r="E106" s="14">
        <f t="shared" si="109"/>
        <v>10</v>
      </c>
      <c r="F106" s="14">
        <f t="shared" si="109"/>
        <v>41.855466666666665</v>
      </c>
      <c r="G106" s="14">
        <f t="shared" si="109"/>
        <v>0</v>
      </c>
      <c r="H106" s="14">
        <f t="shared" si="109"/>
        <v>37.7173515625</v>
      </c>
      <c r="I106" s="14">
        <f t="shared" si="109"/>
        <v>7.957281941489406</v>
      </c>
      <c r="J106" s="14">
        <f>SUM(F106:I106)</f>
        <v>87.53010017065608</v>
      </c>
      <c r="K106" s="22"/>
      <c r="N106" s="14">
        <v>50</v>
      </c>
      <c r="O106" s="15">
        <f t="shared" si="100"/>
        <v>0.027777777777777776</v>
      </c>
      <c r="P106" s="14">
        <v>0</v>
      </c>
      <c r="Q106" s="14">
        <v>5.172744444444445</v>
      </c>
      <c r="R106" s="14">
        <v>0</v>
      </c>
      <c r="S106" s="14">
        <v>0</v>
      </c>
      <c r="T106" s="14">
        <v>0.5172744521524344</v>
      </c>
      <c r="U106" s="14">
        <f>SUM(Q106:T106)</f>
        <v>5.690018896596879</v>
      </c>
      <c r="V106" s="16">
        <f t="shared" si="87"/>
        <v>0.06500642505267487</v>
      </c>
      <c r="Y106" s="14">
        <v>90</v>
      </c>
      <c r="Z106" s="15">
        <f t="shared" si="102"/>
        <v>0.05</v>
      </c>
      <c r="AA106" s="14">
        <v>0</v>
      </c>
      <c r="AB106" s="14">
        <v>9.097677777777779</v>
      </c>
      <c r="AC106" s="14">
        <v>0</v>
      </c>
      <c r="AD106" s="14">
        <v>0</v>
      </c>
      <c r="AE106" s="14">
        <v>0.9097677913343742</v>
      </c>
      <c r="AF106" s="14">
        <f>SUM(AB106:AE106)</f>
        <v>10.007445569112154</v>
      </c>
      <c r="AG106" s="16">
        <f t="shared" si="88"/>
        <v>0.11433147625332075</v>
      </c>
      <c r="AJ106" s="14">
        <v>180</v>
      </c>
      <c r="AK106" s="15">
        <f t="shared" si="104"/>
        <v>0.1</v>
      </c>
      <c r="AL106" s="14">
        <v>5</v>
      </c>
      <c r="AM106" s="14">
        <v>13.0666</v>
      </c>
      <c r="AN106" s="14">
        <v>0</v>
      </c>
      <c r="AO106" s="14">
        <v>18.85867578125</v>
      </c>
      <c r="AP106" s="14">
        <v>3.192527625697368</v>
      </c>
      <c r="AQ106" s="14">
        <f>SUM(AM106:AP106)</f>
        <v>35.11780340694737</v>
      </c>
      <c r="AR106" s="16">
        <f t="shared" si="89"/>
        <v>0.40120830821030395</v>
      </c>
      <c r="AU106" s="14">
        <v>200</v>
      </c>
      <c r="AV106" s="15">
        <f t="shared" si="106"/>
        <v>0.1111111111111111</v>
      </c>
      <c r="AW106" s="14">
        <v>5</v>
      </c>
      <c r="AX106" s="14">
        <v>14.518444444444443</v>
      </c>
      <c r="AY106" s="14">
        <v>0</v>
      </c>
      <c r="AZ106" s="14">
        <v>18.85867578125</v>
      </c>
      <c r="BA106" s="14">
        <v>3.3377120723052296</v>
      </c>
      <c r="BB106" s="14">
        <f t="shared" si="107"/>
        <v>36.71483229799967</v>
      </c>
      <c r="BC106" s="16">
        <f t="shared" si="90"/>
        <v>0.41945379048370024</v>
      </c>
    </row>
    <row r="107" spans="1:55" ht="12.75">
      <c r="A107" s="26" t="s">
        <v>999</v>
      </c>
      <c r="B107" s="19" t="s">
        <v>1000</v>
      </c>
      <c r="C107" s="14">
        <f t="shared" si="109"/>
        <v>290</v>
      </c>
      <c r="D107" s="15">
        <f t="shared" si="109"/>
        <v>0.16111111111111112</v>
      </c>
      <c r="E107" s="14">
        <f t="shared" si="109"/>
        <v>0</v>
      </c>
      <c r="F107" s="14">
        <f t="shared" si="109"/>
        <v>22.072988888888887</v>
      </c>
      <c r="G107" s="14">
        <f t="shared" si="109"/>
        <v>0</v>
      </c>
      <c r="H107" s="14">
        <f t="shared" si="109"/>
        <v>0</v>
      </c>
      <c r="I107" s="14">
        <f t="shared" si="109"/>
        <v>2.2072989217802053</v>
      </c>
      <c r="J107" s="14">
        <f>SUM(F107:I107)</f>
        <v>24.28028781066909</v>
      </c>
      <c r="K107" s="22"/>
      <c r="N107" s="14">
        <v>20</v>
      </c>
      <c r="O107" s="15">
        <f t="shared" si="100"/>
        <v>0.011111111111111112</v>
      </c>
      <c r="P107" s="14">
        <v>0</v>
      </c>
      <c r="Q107" s="14">
        <v>1.9624666666666668</v>
      </c>
      <c r="R107" s="14">
        <v>0</v>
      </c>
      <c r="S107" s="14">
        <v>0</v>
      </c>
      <c r="T107" s="14">
        <v>0.19624666959096987</v>
      </c>
      <c r="U107" s="14">
        <f>SUM(Q107:T107)</f>
        <v>2.1587133362576365</v>
      </c>
      <c r="V107" s="16">
        <f t="shared" si="87"/>
        <v>0.08890806209097193</v>
      </c>
      <c r="Y107" s="14">
        <v>40</v>
      </c>
      <c r="Z107" s="15">
        <f t="shared" si="102"/>
        <v>0.022222222222222223</v>
      </c>
      <c r="AA107" s="14">
        <v>0</v>
      </c>
      <c r="AB107" s="14">
        <v>3.414311111111111</v>
      </c>
      <c r="AC107" s="14">
        <v>0</v>
      </c>
      <c r="AD107" s="14">
        <v>0</v>
      </c>
      <c r="AE107" s="14">
        <v>0.34143111619883115</v>
      </c>
      <c r="AF107" s="14">
        <f>SUM(AB107:AE107)</f>
        <v>3.755742227309942</v>
      </c>
      <c r="AG107" s="16">
        <f t="shared" si="88"/>
        <v>0.15468277215641643</v>
      </c>
      <c r="AJ107" s="14">
        <v>50</v>
      </c>
      <c r="AK107" s="15">
        <f t="shared" si="104"/>
        <v>0.027777777777777776</v>
      </c>
      <c r="AL107" s="14">
        <v>0</v>
      </c>
      <c r="AM107" s="14">
        <v>3.6296111111111107</v>
      </c>
      <c r="AN107" s="14">
        <v>0</v>
      </c>
      <c r="AO107" s="14">
        <v>0</v>
      </c>
      <c r="AP107" s="14">
        <v>0.3629611165196531</v>
      </c>
      <c r="AQ107" s="14">
        <f>SUM(AM107:AP107)</f>
        <v>3.992572227630764</v>
      </c>
      <c r="AR107" s="16">
        <f t="shared" si="89"/>
        <v>0.16443677516361124</v>
      </c>
      <c r="AU107" s="14">
        <v>180</v>
      </c>
      <c r="AV107" s="15">
        <f t="shared" si="106"/>
        <v>0.1</v>
      </c>
      <c r="AW107" s="14">
        <v>0</v>
      </c>
      <c r="AX107" s="14">
        <v>13.0666</v>
      </c>
      <c r="AY107" s="14">
        <v>0</v>
      </c>
      <c r="AZ107" s="14">
        <v>0</v>
      </c>
      <c r="BA107" s="14">
        <v>1.3066600194707512</v>
      </c>
      <c r="BB107" s="14">
        <f t="shared" si="107"/>
        <v>14.37326001947075</v>
      </c>
      <c r="BC107" s="16">
        <f t="shared" si="90"/>
        <v>0.5919723905890005</v>
      </c>
    </row>
    <row r="108" spans="1:56" ht="12.75">
      <c r="A108" s="27"/>
      <c r="B108" s="28" t="s">
        <v>837</v>
      </c>
      <c r="C108" s="20">
        <f aca="true" t="shared" si="110" ref="C108:J108">SUM(C5:C107)</f>
        <v>218178.99996948242</v>
      </c>
      <c r="D108" s="20">
        <f t="shared" si="110"/>
        <v>121.2105555386014</v>
      </c>
      <c r="E108" s="20">
        <f t="shared" si="110"/>
        <v>531.0666666666666</v>
      </c>
      <c r="F108" s="20">
        <f t="shared" si="110"/>
        <v>15166.348284381234</v>
      </c>
      <c r="G108" s="20">
        <f t="shared" si="110"/>
        <v>15561.932697245895</v>
      </c>
      <c r="H108" s="20">
        <f t="shared" si="110"/>
        <v>1623.3728854166668</v>
      </c>
      <c r="I108" s="20">
        <f t="shared" si="110"/>
        <v>7741.525478596392</v>
      </c>
      <c r="J108" s="20">
        <f t="shared" si="110"/>
        <v>40093.17934564017</v>
      </c>
      <c r="K108" s="232">
        <f>L108/L$108</f>
        <v>1</v>
      </c>
      <c r="L108" s="12">
        <f>SUM(L4:L103)</f>
        <v>40093.179345640194</v>
      </c>
      <c r="N108" s="20">
        <f aca="true" t="shared" si="111" ref="N108:U108">SUM(N5:N107)</f>
        <v>33206.90000610352</v>
      </c>
      <c r="O108" s="20">
        <f t="shared" si="111"/>
        <v>18.448277781168628</v>
      </c>
      <c r="P108" s="20">
        <f t="shared" si="111"/>
        <v>91.7</v>
      </c>
      <c r="Q108" s="20">
        <f t="shared" si="111"/>
        <v>2495.463745154453</v>
      </c>
      <c r="R108" s="20">
        <f t="shared" si="111"/>
        <v>133.81475533333332</v>
      </c>
      <c r="S108" s="20">
        <f t="shared" si="111"/>
        <v>213.8081489746094</v>
      </c>
      <c r="T108" s="20">
        <f t="shared" si="111"/>
        <v>441.30483955292055</v>
      </c>
      <c r="U108" s="20">
        <f t="shared" si="111"/>
        <v>3284.391489015317</v>
      </c>
      <c r="V108" s="16">
        <f t="shared" si="87"/>
        <v>0.0819189583520138</v>
      </c>
      <c r="W108" s="12">
        <f>SUM(W4:W103)</f>
        <v>3284.3914890153173</v>
      </c>
      <c r="Y108" s="20">
        <f aca="true" t="shared" si="112" ref="Y108:AF108">SUM(Y5:Y107)</f>
        <v>72024.4999633789</v>
      </c>
      <c r="Z108" s="20">
        <f t="shared" si="112"/>
        <v>40.01361109076607</v>
      </c>
      <c r="AA108" s="20">
        <f t="shared" si="112"/>
        <v>130.3</v>
      </c>
      <c r="AB108" s="20">
        <f t="shared" si="112"/>
        <v>5260.574355954251</v>
      </c>
      <c r="AC108" s="20">
        <f t="shared" si="112"/>
        <v>1817.249</v>
      </c>
      <c r="AD108" s="20">
        <f t="shared" si="112"/>
        <v>335.87513072916676</v>
      </c>
      <c r="AE108" s="20">
        <f t="shared" si="112"/>
        <v>1539.691402708192</v>
      </c>
      <c r="AF108" s="20">
        <f t="shared" si="112"/>
        <v>8953.38988939161</v>
      </c>
      <c r="AG108" s="16">
        <f t="shared" si="88"/>
        <v>0.22331453966783563</v>
      </c>
      <c r="AH108" s="12">
        <f>SUM(AH4:AH103)</f>
        <v>8953.389889391608</v>
      </c>
      <c r="AJ108" s="20">
        <f aca="true" t="shared" si="113" ref="AJ108:AQ108">SUM(AJ5:AJ107)</f>
        <v>80335.6</v>
      </c>
      <c r="AK108" s="20">
        <f t="shared" si="113"/>
        <v>44.63088888888888</v>
      </c>
      <c r="AL108" s="20">
        <f t="shared" si="113"/>
        <v>186.06666666666666</v>
      </c>
      <c r="AM108" s="20">
        <f t="shared" si="113"/>
        <v>5226.721520911417</v>
      </c>
      <c r="AN108" s="20">
        <f t="shared" si="113"/>
        <v>13360.487941912566</v>
      </c>
      <c r="AO108" s="20">
        <f t="shared" si="113"/>
        <v>595.9266813964844</v>
      </c>
      <c r="AP108" s="20">
        <f t="shared" si="113"/>
        <v>5149.912815581446</v>
      </c>
      <c r="AQ108" s="20">
        <f t="shared" si="113"/>
        <v>24333.048959801927</v>
      </c>
      <c r="AR108" s="16">
        <f t="shared" si="89"/>
        <v>0.6069124314145459</v>
      </c>
      <c r="AS108" s="12">
        <f>SUM(AS4:AS103)</f>
        <v>24333.048959801916</v>
      </c>
      <c r="AU108" s="20">
        <f>SUM(AU5:AU107)</f>
        <v>32612</v>
      </c>
      <c r="AV108" s="20">
        <f aca="true" t="shared" si="114" ref="AV108:BB108">SUM(AV5:AV107)</f>
        <v>18.117777777777782</v>
      </c>
      <c r="AW108" s="20">
        <f t="shared" si="114"/>
        <v>123</v>
      </c>
      <c r="AX108" s="20">
        <f t="shared" si="114"/>
        <v>2183.5886623611113</v>
      </c>
      <c r="AY108" s="20">
        <f t="shared" si="114"/>
        <v>250.38100000000003</v>
      </c>
      <c r="AZ108" s="20">
        <f t="shared" si="114"/>
        <v>477.76292431640616</v>
      </c>
      <c r="BA108" s="20">
        <f t="shared" si="114"/>
        <v>610.6164207538322</v>
      </c>
      <c r="BB108" s="20">
        <f t="shared" si="114"/>
        <v>3522.34900743135</v>
      </c>
      <c r="BC108" s="16">
        <f t="shared" si="90"/>
        <v>0.08785407056560553</v>
      </c>
      <c r="BD108" s="12">
        <f>SUM(BD4:BD103)</f>
        <v>3522.34900743135</v>
      </c>
    </row>
  </sheetData>
  <mergeCells count="25">
    <mergeCell ref="C1:L1"/>
    <mergeCell ref="N1:W1"/>
    <mergeCell ref="Y1:AH1"/>
    <mergeCell ref="AJ1:AS1"/>
    <mergeCell ref="AU1:BD1"/>
    <mergeCell ref="C2:D2"/>
    <mergeCell ref="E2:E3"/>
    <mergeCell ref="F2:J2"/>
    <mergeCell ref="K2:K3"/>
    <mergeCell ref="N2:O2"/>
    <mergeCell ref="P2:P3"/>
    <mergeCell ref="Q2:U2"/>
    <mergeCell ref="V2:V3"/>
    <mergeCell ref="Y2:Z2"/>
    <mergeCell ref="AA2:AA3"/>
    <mergeCell ref="AB2:AF2"/>
    <mergeCell ref="AG2:AG3"/>
    <mergeCell ref="AJ2:AK2"/>
    <mergeCell ref="AW2:AW3"/>
    <mergeCell ref="AX2:BB2"/>
    <mergeCell ref="BC2:BC3"/>
    <mergeCell ref="AL2:AL3"/>
    <mergeCell ref="AM2:AQ2"/>
    <mergeCell ref="AR2:AR3"/>
    <mergeCell ref="AU2:AV2"/>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BD108"/>
  <sheetViews>
    <sheetView workbookViewId="0" topLeftCell="A1">
      <selection activeCell="I69" sqref="I69"/>
    </sheetView>
  </sheetViews>
  <sheetFormatPr defaultColWidth="9.140625" defaultRowHeight="12.75"/>
  <cols>
    <col min="1" max="1" width="5.8515625" style="0" customWidth="1"/>
    <col min="2" max="2" width="26.57421875" style="0" customWidth="1"/>
    <col min="3" max="3" width="7.421875" style="0" customWidth="1"/>
    <col min="4" max="4" width="5.7109375" style="0" customWidth="1"/>
    <col min="5" max="5" width="6.140625" style="0" customWidth="1"/>
    <col min="6" max="6" width="6.7109375" style="0" customWidth="1"/>
    <col min="8" max="8" width="7.00390625" style="0" customWidth="1"/>
    <col min="9" max="9" width="7.57421875" style="0" customWidth="1"/>
    <col min="10" max="10" width="7.28125" style="0" customWidth="1"/>
    <col min="11" max="11" width="6.57421875" style="0" customWidth="1"/>
    <col min="12" max="12" width="6.421875" style="0" customWidth="1"/>
    <col min="13" max="13" width="4.7109375" style="0" customWidth="1"/>
    <col min="14" max="14" width="7.421875" style="0" customWidth="1"/>
    <col min="15" max="15" width="6.140625" style="0" customWidth="1"/>
    <col min="16" max="16" width="6.421875" style="0" customWidth="1"/>
    <col min="17" max="17" width="7.140625" style="0" customWidth="1"/>
    <col min="18" max="18" width="8.8515625" style="0" customWidth="1"/>
    <col min="19" max="19" width="7.00390625" style="0" customWidth="1"/>
    <col min="20" max="20" width="7.8515625" style="0" customWidth="1"/>
    <col min="21" max="21" width="7.421875" style="0" customWidth="1"/>
    <col min="22" max="22" width="7.140625" style="0" customWidth="1"/>
    <col min="23" max="23" width="6.421875" style="0" customWidth="1"/>
    <col min="24" max="24" width="4.7109375" style="0" customWidth="1"/>
    <col min="34" max="34" width="6.421875" style="0" customWidth="1"/>
    <col min="35" max="35" width="4.7109375" style="0" customWidth="1"/>
    <col min="45" max="45" width="6.421875" style="0" customWidth="1"/>
    <col min="46" max="46" width="4.7109375" style="0" customWidth="1"/>
  </cols>
  <sheetData>
    <row r="1" spans="2:56" ht="12.75">
      <c r="B1" s="103"/>
      <c r="C1" s="286" t="s">
        <v>685</v>
      </c>
      <c r="D1" s="286"/>
      <c r="E1" s="286"/>
      <c r="F1" s="286"/>
      <c r="G1" s="286"/>
      <c r="H1" s="286"/>
      <c r="I1" s="286"/>
      <c r="J1" s="286"/>
      <c r="K1" s="286"/>
      <c r="L1" s="286"/>
      <c r="N1" s="286" t="s">
        <v>684</v>
      </c>
      <c r="O1" s="286"/>
      <c r="P1" s="286"/>
      <c r="Q1" s="286"/>
      <c r="R1" s="286"/>
      <c r="S1" s="286"/>
      <c r="T1" s="286"/>
      <c r="U1" s="286"/>
      <c r="V1" s="286"/>
      <c r="W1" s="286"/>
      <c r="Y1" s="286" t="s">
        <v>686</v>
      </c>
      <c r="Z1" s="286"/>
      <c r="AA1" s="286"/>
      <c r="AB1" s="286"/>
      <c r="AC1" s="286"/>
      <c r="AD1" s="286"/>
      <c r="AE1" s="286"/>
      <c r="AF1" s="286"/>
      <c r="AG1" s="286"/>
      <c r="AH1" s="286"/>
      <c r="AJ1" s="286" t="s">
        <v>687</v>
      </c>
      <c r="AK1" s="286"/>
      <c r="AL1" s="286"/>
      <c r="AM1" s="286"/>
      <c r="AN1" s="286"/>
      <c r="AO1" s="286"/>
      <c r="AP1" s="286"/>
      <c r="AQ1" s="286"/>
      <c r="AR1" s="286"/>
      <c r="AS1" s="286"/>
      <c r="AU1" s="286" t="s">
        <v>688</v>
      </c>
      <c r="AV1" s="286"/>
      <c r="AW1" s="286"/>
      <c r="AX1" s="286"/>
      <c r="AY1" s="286"/>
      <c r="AZ1" s="286"/>
      <c r="BA1" s="286"/>
      <c r="BB1" s="286"/>
      <c r="BC1" s="286"/>
      <c r="BD1" s="286"/>
    </row>
    <row r="2" spans="1:55" ht="12.75" customHeight="1">
      <c r="A2" s="311"/>
      <c r="B2" s="303"/>
      <c r="C2" s="287" t="s">
        <v>843</v>
      </c>
      <c r="D2" s="287"/>
      <c r="E2" s="287" t="s">
        <v>838</v>
      </c>
      <c r="F2" s="287" t="s">
        <v>844</v>
      </c>
      <c r="G2" s="287"/>
      <c r="H2" s="287"/>
      <c r="I2" s="287"/>
      <c r="J2" s="287"/>
      <c r="K2" s="288" t="s">
        <v>845</v>
      </c>
      <c r="N2" s="287" t="s">
        <v>843</v>
      </c>
      <c r="O2" s="287"/>
      <c r="P2" s="287" t="s">
        <v>838</v>
      </c>
      <c r="Q2" s="287" t="s">
        <v>844</v>
      </c>
      <c r="R2" s="287"/>
      <c r="S2" s="287"/>
      <c r="T2" s="287"/>
      <c r="U2" s="287"/>
      <c r="V2" s="288" t="s">
        <v>682</v>
      </c>
      <c r="Y2" s="287" t="s">
        <v>843</v>
      </c>
      <c r="Z2" s="287"/>
      <c r="AA2" s="287" t="s">
        <v>838</v>
      </c>
      <c r="AB2" s="287" t="s">
        <v>844</v>
      </c>
      <c r="AC2" s="287"/>
      <c r="AD2" s="287"/>
      <c r="AE2" s="287"/>
      <c r="AF2" s="287"/>
      <c r="AG2" s="288" t="s">
        <v>682</v>
      </c>
      <c r="AJ2" s="287" t="s">
        <v>843</v>
      </c>
      <c r="AK2" s="287"/>
      <c r="AL2" s="287" t="s">
        <v>838</v>
      </c>
      <c r="AM2" s="287" t="s">
        <v>844</v>
      </c>
      <c r="AN2" s="287"/>
      <c r="AO2" s="287"/>
      <c r="AP2" s="287"/>
      <c r="AQ2" s="287"/>
      <c r="AR2" s="288" t="s">
        <v>682</v>
      </c>
      <c r="AU2" s="287" t="s">
        <v>843</v>
      </c>
      <c r="AV2" s="287"/>
      <c r="AW2" s="287" t="s">
        <v>838</v>
      </c>
      <c r="AX2" s="287" t="s">
        <v>844</v>
      </c>
      <c r="AY2" s="287"/>
      <c r="AZ2" s="287"/>
      <c r="BA2" s="287"/>
      <c r="BB2" s="287"/>
      <c r="BC2" s="288" t="s">
        <v>682</v>
      </c>
    </row>
    <row r="3" spans="1:55" ht="12.75">
      <c r="A3" s="303"/>
      <c r="B3" s="303"/>
      <c r="C3" s="5" t="s">
        <v>846</v>
      </c>
      <c r="D3" s="5" t="s">
        <v>847</v>
      </c>
      <c r="E3" s="287"/>
      <c r="F3" s="5" t="s">
        <v>843</v>
      </c>
      <c r="G3" s="5" t="s">
        <v>840</v>
      </c>
      <c r="H3" s="5" t="s">
        <v>848</v>
      </c>
      <c r="I3" s="5" t="s">
        <v>841</v>
      </c>
      <c r="J3" s="5" t="s">
        <v>839</v>
      </c>
      <c r="K3" s="288"/>
      <c r="N3" s="5" t="s">
        <v>846</v>
      </c>
      <c r="O3" s="5" t="s">
        <v>847</v>
      </c>
      <c r="P3" s="287"/>
      <c r="Q3" s="5" t="s">
        <v>843</v>
      </c>
      <c r="R3" s="5" t="s">
        <v>840</v>
      </c>
      <c r="S3" s="5" t="s">
        <v>848</v>
      </c>
      <c r="T3" s="5" t="s">
        <v>841</v>
      </c>
      <c r="U3" s="5" t="s">
        <v>839</v>
      </c>
      <c r="V3" s="288"/>
      <c r="Y3" s="5" t="s">
        <v>846</v>
      </c>
      <c r="Z3" s="5" t="s">
        <v>847</v>
      </c>
      <c r="AA3" s="287"/>
      <c r="AB3" s="5" t="s">
        <v>843</v>
      </c>
      <c r="AC3" s="5" t="s">
        <v>840</v>
      </c>
      <c r="AD3" s="5" t="s">
        <v>848</v>
      </c>
      <c r="AE3" s="5" t="s">
        <v>841</v>
      </c>
      <c r="AF3" s="5" t="s">
        <v>839</v>
      </c>
      <c r="AG3" s="288"/>
      <c r="AJ3" s="5" t="s">
        <v>846</v>
      </c>
      <c r="AK3" s="5" t="s">
        <v>847</v>
      </c>
      <c r="AL3" s="287"/>
      <c r="AM3" s="5" t="s">
        <v>843</v>
      </c>
      <c r="AN3" s="5" t="s">
        <v>840</v>
      </c>
      <c r="AO3" s="5" t="s">
        <v>848</v>
      </c>
      <c r="AP3" s="5" t="s">
        <v>841</v>
      </c>
      <c r="AQ3" s="5" t="s">
        <v>839</v>
      </c>
      <c r="AR3" s="288"/>
      <c r="AU3" s="5" t="s">
        <v>846</v>
      </c>
      <c r="AV3" s="5" t="s">
        <v>847</v>
      </c>
      <c r="AW3" s="287"/>
      <c r="AX3" s="5" t="s">
        <v>843</v>
      </c>
      <c r="AY3" s="5" t="s">
        <v>840</v>
      </c>
      <c r="AZ3" s="5" t="s">
        <v>848</v>
      </c>
      <c r="BA3" s="5" t="s">
        <v>841</v>
      </c>
      <c r="BB3" s="5" t="s">
        <v>839</v>
      </c>
      <c r="BC3" s="288"/>
    </row>
    <row r="4" spans="1:56" ht="12.75" hidden="1">
      <c r="A4" s="8">
        <v>2</v>
      </c>
      <c r="B4" s="9" t="s">
        <v>842</v>
      </c>
      <c r="C4" s="10"/>
      <c r="D4" s="10"/>
      <c r="E4" s="10"/>
      <c r="F4" s="10"/>
      <c r="G4" s="10"/>
      <c r="H4" s="10"/>
      <c r="I4" s="10"/>
      <c r="J4" s="10"/>
      <c r="K4" s="11">
        <f>L4/L$108</f>
        <v>0.06100331885402006</v>
      </c>
      <c r="L4" s="12">
        <f>SUM(J5:J11)</f>
        <v>130.15642187868565</v>
      </c>
      <c r="N4" s="10"/>
      <c r="O4" s="10"/>
      <c r="P4" s="10"/>
      <c r="Q4" s="10"/>
      <c r="R4" s="10"/>
      <c r="S4" s="10"/>
      <c r="T4" s="10"/>
      <c r="U4" s="10"/>
      <c r="V4" s="10"/>
      <c r="W4" s="12">
        <f>SUM(U5:U11)</f>
        <v>38.71750986570839</v>
      </c>
      <c r="Y4" s="10"/>
      <c r="Z4" s="10"/>
      <c r="AA4" s="10"/>
      <c r="AB4" s="10"/>
      <c r="AC4" s="10"/>
      <c r="AD4" s="10"/>
      <c r="AE4" s="10"/>
      <c r="AF4" s="10"/>
      <c r="AG4" s="10"/>
      <c r="AH4" s="12">
        <f>SUM(AF5:AF11)</f>
        <v>32.04733350142978</v>
      </c>
      <c r="AJ4" s="10"/>
      <c r="AK4" s="10"/>
      <c r="AL4" s="10"/>
      <c r="AM4" s="10"/>
      <c r="AN4" s="10"/>
      <c r="AO4" s="10"/>
      <c r="AP4" s="10"/>
      <c r="AQ4" s="10"/>
      <c r="AR4" s="10"/>
      <c r="AS4" s="12">
        <f>SUM(AQ5:AQ11)</f>
        <v>59.39157851154724</v>
      </c>
      <c r="AU4" s="10"/>
      <c r="AV4" s="10"/>
      <c r="AW4" s="10"/>
      <c r="AX4" s="10"/>
      <c r="AY4" s="10"/>
      <c r="AZ4" s="10"/>
      <c r="BA4" s="10"/>
      <c r="BB4" s="10"/>
      <c r="BC4" s="10"/>
      <c r="BD4" s="12">
        <f>SUM(BB5:BB11)</f>
        <v>0</v>
      </c>
    </row>
    <row r="5" spans="1:56" ht="12.75" hidden="1">
      <c r="A5" s="13">
        <v>2.1</v>
      </c>
      <c r="B5" s="13" t="s">
        <v>849</v>
      </c>
      <c r="C5" s="14">
        <f>'SDR Cost Estimate (FY08)'!C5-'B2C Cost Est (FY08)'!C5</f>
        <v>0</v>
      </c>
      <c r="D5" s="15">
        <f>'SDR Cost Estimate (FY08)'!D5-'B2C Cost Est (FY08)'!D5</f>
        <v>0</v>
      </c>
      <c r="E5" s="14">
        <f>'SDR Cost Estimate (FY08)'!E5-'B2C Cost Est (FY08)'!E5</f>
        <v>0</v>
      </c>
      <c r="F5" s="14">
        <f>'SDR Cost Estimate (FY08)'!F5-'B2C Cost Est (FY08)'!F5</f>
        <v>0</v>
      </c>
      <c r="G5" s="14">
        <f>'SDR Cost Estimate (FY08)'!G5-'B2C Cost Est (FY08)'!G5</f>
        <v>0</v>
      </c>
      <c r="H5" s="14">
        <f>'SDR Cost Estimate (FY08)'!H5-'B2C Cost Est (FY08)'!H5</f>
        <v>0</v>
      </c>
      <c r="I5" s="14">
        <f>'SDR Cost Estimate (FY08)'!I5-'B2C Cost Est (FY08)'!I5</f>
        <v>0</v>
      </c>
      <c r="J5" s="14">
        <f>SUM(F5:I5)</f>
        <v>0</v>
      </c>
      <c r="K5" s="16"/>
      <c r="L5" s="17"/>
      <c r="N5" s="14">
        <f>'SDR Cost Estimate (FY08)'!N5-'B2C Cost Est (FY08)'!N5</f>
        <v>0</v>
      </c>
      <c r="O5" s="15">
        <f>'SDR Cost Estimate (FY08)'!O5-'B2C Cost Est (FY08)'!O5</f>
        <v>0</v>
      </c>
      <c r="P5" s="14">
        <f>'SDR Cost Estimate (FY08)'!P5-'B2C Cost Est (FY08)'!P5</f>
        <v>0</v>
      </c>
      <c r="Q5" s="14">
        <f>'SDR Cost Estimate (FY08)'!Q5-'B2C Cost Est (FY08)'!Q5</f>
        <v>0</v>
      </c>
      <c r="R5" s="14">
        <f>'SDR Cost Estimate (FY08)'!R5-'B2C Cost Est (FY08)'!R5</f>
        <v>0</v>
      </c>
      <c r="S5" s="14">
        <f>'SDR Cost Estimate (FY08)'!S5-'B2C Cost Est (FY08)'!S5</f>
        <v>0</v>
      </c>
      <c r="T5" s="14">
        <f>'SDR Cost Estimate (FY08)'!T5-'B2C Cost Est (FY08)'!T5</f>
        <v>0</v>
      </c>
      <c r="U5" s="14">
        <f>SUM(Q5:T5)</f>
        <v>0</v>
      </c>
      <c r="V5" s="16"/>
      <c r="W5" s="17"/>
      <c r="Y5" s="14">
        <f>'SDR Cost Estimate (FY08)'!Y5-'B2C Cost Est (FY08)'!Y5</f>
        <v>0</v>
      </c>
      <c r="Z5" s="15">
        <f>'SDR Cost Estimate (FY08)'!Z5-'B2C Cost Est (FY08)'!Z5</f>
        <v>0</v>
      </c>
      <c r="AA5" s="14">
        <f>'SDR Cost Estimate (FY08)'!AA5-'B2C Cost Est (FY08)'!AA5</f>
        <v>0</v>
      </c>
      <c r="AB5" s="14">
        <f>'SDR Cost Estimate (FY08)'!AB5-'B2C Cost Est (FY08)'!AB5</f>
        <v>0</v>
      </c>
      <c r="AC5" s="14">
        <f>'SDR Cost Estimate (FY08)'!AC5-'B2C Cost Est (FY08)'!AC5</f>
        <v>0</v>
      </c>
      <c r="AD5" s="14">
        <f>'SDR Cost Estimate (FY08)'!AD5-'B2C Cost Est (FY08)'!AD5</f>
        <v>0</v>
      </c>
      <c r="AE5" s="14">
        <f>'SDR Cost Estimate (FY08)'!AE5-'B2C Cost Est (FY08)'!AE5</f>
        <v>0</v>
      </c>
      <c r="AF5" s="14">
        <f>SUM(AB5:AE5)</f>
        <v>0</v>
      </c>
      <c r="AG5" s="16"/>
      <c r="AH5" s="17"/>
      <c r="AJ5" s="14">
        <f>'SDR Cost Estimate (FY08)'!AJ5-'B2C Cost Est (FY08)'!AJ5</f>
        <v>0</v>
      </c>
      <c r="AK5" s="15">
        <f>'SDR Cost Estimate (FY08)'!AK5-'B2C Cost Est (FY08)'!AK5</f>
        <v>0</v>
      </c>
      <c r="AL5" s="14">
        <f>'SDR Cost Estimate (FY08)'!AL5-'B2C Cost Est (FY08)'!AL5</f>
        <v>0</v>
      </c>
      <c r="AM5" s="14">
        <f>'SDR Cost Estimate (FY08)'!AM5-'B2C Cost Est (FY08)'!AM5</f>
        <v>0</v>
      </c>
      <c r="AN5" s="14">
        <f>'SDR Cost Estimate (FY08)'!AN5-'B2C Cost Est (FY08)'!AN5</f>
        <v>0</v>
      </c>
      <c r="AO5" s="14">
        <f>'SDR Cost Estimate (FY08)'!AO5-'B2C Cost Est (FY08)'!AO5</f>
        <v>0</v>
      </c>
      <c r="AP5" s="14">
        <f>'SDR Cost Estimate (FY08)'!AP5-'B2C Cost Est (FY08)'!AP5</f>
        <v>0</v>
      </c>
      <c r="AQ5" s="14">
        <f>SUM(AM5:AP5)</f>
        <v>0</v>
      </c>
      <c r="AR5" s="16"/>
      <c r="AS5" s="17"/>
      <c r="AU5" s="14">
        <f>'SDR Cost Estimate (FY08)'!AU5-'B2C Cost Est (FY08)'!AU5</f>
        <v>0</v>
      </c>
      <c r="AV5" s="15">
        <f>'SDR Cost Estimate (FY08)'!AV5-'B2C Cost Est (FY08)'!AV5</f>
        <v>0</v>
      </c>
      <c r="AW5" s="14">
        <f>'SDR Cost Estimate (FY08)'!AW5-'B2C Cost Est (FY08)'!AW5</f>
        <v>0</v>
      </c>
      <c r="AX5" s="14">
        <f>'SDR Cost Estimate (FY08)'!AX5-'B2C Cost Est (FY08)'!AX5</f>
        <v>0</v>
      </c>
      <c r="AY5" s="14">
        <f>'SDR Cost Estimate (FY08)'!AY5-'B2C Cost Est (FY08)'!AY5</f>
        <v>0</v>
      </c>
      <c r="AZ5" s="14">
        <f>'SDR Cost Estimate (FY08)'!AZ5-'B2C Cost Est (FY08)'!AZ5</f>
        <v>0</v>
      </c>
      <c r="BA5" s="14">
        <f>'SDR Cost Estimate (FY08)'!BA5-'B2C Cost Est (FY08)'!BA5</f>
        <v>0</v>
      </c>
      <c r="BB5" s="14">
        <f>SUM(AX5:BA5)</f>
        <v>0</v>
      </c>
      <c r="BC5" s="16"/>
      <c r="BD5" s="17"/>
    </row>
    <row r="6" spans="1:56" ht="12.75" hidden="1">
      <c r="A6" s="18">
        <v>2.2</v>
      </c>
      <c r="B6" s="13" t="s">
        <v>850</v>
      </c>
      <c r="C6" s="14">
        <f>'SDR Cost Estimate (FY08)'!C6-'B2C Cost Est (FY08)'!C6</f>
        <v>108.5</v>
      </c>
      <c r="D6" s="15">
        <f>'SDR Cost Estimate (FY08)'!D6-'B2C Cost Est (FY08)'!D6</f>
        <v>0.06027777777777743</v>
      </c>
      <c r="E6" s="14">
        <f>'SDR Cost Estimate (FY08)'!E6-'B2C Cost Est (FY08)'!E6</f>
        <v>9.599999999999994</v>
      </c>
      <c r="F6" s="14">
        <f>'SDR Cost Estimate (FY08)'!F6-'B2C Cost Est (FY08)'!F6</f>
        <v>9.93903388888873</v>
      </c>
      <c r="G6" s="14">
        <f>'SDR Cost Estimate (FY08)'!G6-'B2C Cost Est (FY08)'!G6</f>
        <v>0</v>
      </c>
      <c r="H6" s="14">
        <f>'SDR Cost Estimate (FY08)'!H6-'B2C Cost Est (FY08)'!H6</f>
        <v>26.48983007812504</v>
      </c>
      <c r="I6" s="14">
        <f>'SDR Cost Estimate (FY08)'!I6-'B2C Cost Est (FY08)'!I6</f>
        <v>1.9948789161543772</v>
      </c>
      <c r="J6" s="14">
        <f aca="true" t="shared" si="0" ref="J6:J11">SUM(F6:I6)</f>
        <v>38.423742883168146</v>
      </c>
      <c r="K6" s="16"/>
      <c r="L6" s="17"/>
      <c r="N6" s="14">
        <f>'SDR Cost Estimate (FY08)'!N6-'B2C Cost Est (FY08)'!N6</f>
        <v>108.5</v>
      </c>
      <c r="O6" s="15">
        <f>'SDR Cost Estimate (FY08)'!O6-'B2C Cost Est (FY08)'!O6</f>
        <v>0.06027777777777765</v>
      </c>
      <c r="P6" s="14">
        <f>'SDR Cost Estimate (FY08)'!P6-'B2C Cost Est (FY08)'!P6</f>
        <v>3.3000000000000007</v>
      </c>
      <c r="Q6" s="14">
        <f>'SDR Cost Estimate (FY08)'!Q6-'B2C Cost Est (FY08)'!Q6</f>
        <v>9.939033888888673</v>
      </c>
      <c r="R6" s="14">
        <f>'SDR Cost Estimate (FY08)'!R6-'B2C Cost Est (FY08)'!R6</f>
        <v>0</v>
      </c>
      <c r="S6" s="14">
        <f>'SDR Cost Estimate (FY08)'!S6-'B2C Cost Est (FY08)'!S6</f>
        <v>9.902819531250003</v>
      </c>
      <c r="T6" s="14">
        <f>'SDR Cost Estimate (FY08)'!T6-'B2C Cost Est (FY08)'!T6</f>
        <v>0.9920928682979149</v>
      </c>
      <c r="U6" s="14">
        <f aca="true" t="shared" si="1" ref="U6:U11">SUM(Q6:T6)</f>
        <v>20.833946288436593</v>
      </c>
      <c r="V6" s="16"/>
      <c r="W6" s="17"/>
      <c r="Y6" s="14">
        <f>'SDR Cost Estimate (FY08)'!Y6-'B2C Cost Est (FY08)'!Y6</f>
        <v>0</v>
      </c>
      <c r="Z6" s="15">
        <f>'SDR Cost Estimate (FY08)'!Z6-'B2C Cost Est (FY08)'!Z6</f>
        <v>0</v>
      </c>
      <c r="AA6" s="14">
        <f>'SDR Cost Estimate (FY08)'!AA6-'B2C Cost Est (FY08)'!AA6</f>
        <v>3.6999999999999957</v>
      </c>
      <c r="AB6" s="14">
        <f>'SDR Cost Estimate (FY08)'!AB6-'B2C Cost Est (FY08)'!AB6</f>
        <v>0</v>
      </c>
      <c r="AC6" s="14">
        <f>'SDR Cost Estimate (FY08)'!AC6-'B2C Cost Est (FY08)'!AC6</f>
        <v>0</v>
      </c>
      <c r="AD6" s="14">
        <f>'SDR Cost Estimate (FY08)'!AD6-'B2C Cost Est (FY08)'!AD6</f>
        <v>10.805821093749998</v>
      </c>
      <c r="AE6" s="14">
        <f>'SDR Cost Estimate (FY08)'!AE6-'B2C Cost Est (FY08)'!AE6</f>
        <v>0.5402913656182662</v>
      </c>
      <c r="AF6" s="14">
        <f aca="true" t="shared" si="2" ref="AF6:AF11">SUM(AB6:AE6)</f>
        <v>11.346112459368264</v>
      </c>
      <c r="AG6" s="16"/>
      <c r="AH6" s="17"/>
      <c r="AJ6" s="14">
        <f>'SDR Cost Estimate (FY08)'!AJ6-'B2C Cost Est (FY08)'!AJ6</f>
        <v>0</v>
      </c>
      <c r="AK6" s="15">
        <f>'SDR Cost Estimate (FY08)'!AK6-'B2C Cost Est (FY08)'!AK6</f>
        <v>0</v>
      </c>
      <c r="AL6" s="14">
        <f>'SDR Cost Estimate (FY08)'!AL6-'B2C Cost Est (FY08)'!AL6</f>
        <v>2.599999999999998</v>
      </c>
      <c r="AM6" s="14">
        <f>'SDR Cost Estimate (FY08)'!AM6-'B2C Cost Est (FY08)'!AM6</f>
        <v>0</v>
      </c>
      <c r="AN6" s="14">
        <f>'SDR Cost Estimate (FY08)'!AN6-'B2C Cost Est (FY08)'!AN6</f>
        <v>0</v>
      </c>
      <c r="AO6" s="14">
        <f>'SDR Cost Estimate (FY08)'!AO6-'B2C Cost Est (FY08)'!AO6</f>
        <v>5.781189453125002</v>
      </c>
      <c r="AP6" s="14">
        <f>'SDR Cost Estimate (FY08)'!AP6-'B2C Cost Est (FY08)'!AP6</f>
        <v>0.4624946822381979</v>
      </c>
      <c r="AQ6" s="14">
        <f aca="true" t="shared" si="3" ref="AQ6:AQ11">SUM(AM6:AP6)</f>
        <v>6.2436841353632</v>
      </c>
      <c r="AR6" s="16"/>
      <c r="AS6" s="17"/>
      <c r="AU6" s="14">
        <f>'SDR Cost Estimate (FY08)'!AU6-'B2C Cost Est (FY08)'!AU6</f>
        <v>0</v>
      </c>
      <c r="AV6" s="15">
        <f>'SDR Cost Estimate (FY08)'!AV6-'B2C Cost Est (FY08)'!AV6</f>
        <v>0</v>
      </c>
      <c r="AW6" s="14">
        <f>'SDR Cost Estimate (FY08)'!AW6-'B2C Cost Est (FY08)'!AW6</f>
        <v>0</v>
      </c>
      <c r="AX6" s="14">
        <f>'SDR Cost Estimate (FY08)'!AX6-'B2C Cost Est (FY08)'!AX6</f>
        <v>0</v>
      </c>
      <c r="AY6" s="14">
        <f>'SDR Cost Estimate (FY08)'!AY6-'B2C Cost Est (FY08)'!AY6</f>
        <v>0</v>
      </c>
      <c r="AZ6" s="14">
        <f>'SDR Cost Estimate (FY08)'!AZ6-'B2C Cost Est (FY08)'!AZ6</f>
        <v>0</v>
      </c>
      <c r="BA6" s="14">
        <f>'SDR Cost Estimate (FY08)'!BA6-'B2C Cost Est (FY08)'!BA6</f>
        <v>0</v>
      </c>
      <c r="BB6" s="14">
        <f aca="true" t="shared" si="4" ref="BB6:BB11">SUM(AX6:BA6)</f>
        <v>0</v>
      </c>
      <c r="BC6" s="16"/>
      <c r="BD6" s="17"/>
    </row>
    <row r="7" spans="1:56" ht="12.75" hidden="1">
      <c r="A7" s="13">
        <v>2.3</v>
      </c>
      <c r="B7" s="13" t="s">
        <v>851</v>
      </c>
      <c r="C7" s="14">
        <f>'SDR Cost Estimate (FY08)'!C7-'B2C Cost Est (FY08)'!C7</f>
        <v>0</v>
      </c>
      <c r="D7" s="15">
        <f>'SDR Cost Estimate (FY08)'!D7-'B2C Cost Est (FY08)'!D7</f>
        <v>0</v>
      </c>
      <c r="E7" s="14">
        <f>'SDR Cost Estimate (FY08)'!E7-'B2C Cost Est (FY08)'!E7</f>
        <v>0</v>
      </c>
      <c r="F7" s="14">
        <f>'SDR Cost Estimate (FY08)'!F7-'B2C Cost Est (FY08)'!F7</f>
        <v>0</v>
      </c>
      <c r="G7" s="14">
        <f>'SDR Cost Estimate (FY08)'!G7-'B2C Cost Est (FY08)'!G7</f>
        <v>0</v>
      </c>
      <c r="H7" s="14">
        <f>'SDR Cost Estimate (FY08)'!H7-'B2C Cost Est (FY08)'!H7</f>
        <v>0</v>
      </c>
      <c r="I7" s="14">
        <f>'SDR Cost Estimate (FY08)'!I7-'B2C Cost Est (FY08)'!I7</f>
        <v>0</v>
      </c>
      <c r="J7" s="14">
        <f t="shared" si="0"/>
        <v>0</v>
      </c>
      <c r="K7" s="16"/>
      <c r="L7" s="17"/>
      <c r="N7" s="14">
        <f>'SDR Cost Estimate (FY08)'!N7-'B2C Cost Est (FY08)'!N7</f>
        <v>0</v>
      </c>
      <c r="O7" s="15">
        <f>'SDR Cost Estimate (FY08)'!O7-'B2C Cost Est (FY08)'!O7</f>
        <v>0</v>
      </c>
      <c r="P7" s="14">
        <f>'SDR Cost Estimate (FY08)'!P7-'B2C Cost Est (FY08)'!P7</f>
        <v>0</v>
      </c>
      <c r="Q7" s="14">
        <f>'SDR Cost Estimate (FY08)'!Q7-'B2C Cost Est (FY08)'!Q7</f>
        <v>0</v>
      </c>
      <c r="R7" s="14">
        <f>'SDR Cost Estimate (FY08)'!R7-'B2C Cost Est (FY08)'!R7</f>
        <v>0</v>
      </c>
      <c r="S7" s="14">
        <f>'SDR Cost Estimate (FY08)'!S7-'B2C Cost Est (FY08)'!S7</f>
        <v>0</v>
      </c>
      <c r="T7" s="14">
        <f>'SDR Cost Estimate (FY08)'!T7-'B2C Cost Est (FY08)'!T7</f>
        <v>0</v>
      </c>
      <c r="U7" s="14">
        <f t="shared" si="1"/>
        <v>0</v>
      </c>
      <c r="V7" s="16"/>
      <c r="W7" s="17"/>
      <c r="Y7" s="14">
        <f>'SDR Cost Estimate (FY08)'!Y7-'B2C Cost Est (FY08)'!Y7</f>
        <v>0</v>
      </c>
      <c r="Z7" s="15">
        <f>'SDR Cost Estimate (FY08)'!Z7-'B2C Cost Est (FY08)'!Z7</f>
        <v>0</v>
      </c>
      <c r="AA7" s="14">
        <f>'SDR Cost Estimate (FY08)'!AA7-'B2C Cost Est (FY08)'!AA7</f>
        <v>0</v>
      </c>
      <c r="AB7" s="14">
        <f>'SDR Cost Estimate (FY08)'!AB7-'B2C Cost Est (FY08)'!AB7</f>
        <v>0</v>
      </c>
      <c r="AC7" s="14">
        <f>'SDR Cost Estimate (FY08)'!AC7-'B2C Cost Est (FY08)'!AC7</f>
        <v>0</v>
      </c>
      <c r="AD7" s="14">
        <f>'SDR Cost Estimate (FY08)'!AD7-'B2C Cost Est (FY08)'!AD7</f>
        <v>0</v>
      </c>
      <c r="AE7" s="14">
        <f>'SDR Cost Estimate (FY08)'!AE7-'B2C Cost Est (FY08)'!AE7</f>
        <v>0</v>
      </c>
      <c r="AF7" s="14">
        <f t="shared" si="2"/>
        <v>0</v>
      </c>
      <c r="AG7" s="16"/>
      <c r="AH7" s="17"/>
      <c r="AJ7" s="14">
        <f>'SDR Cost Estimate (FY08)'!AJ7-'B2C Cost Est (FY08)'!AJ7</f>
        <v>0</v>
      </c>
      <c r="AK7" s="15">
        <f>'SDR Cost Estimate (FY08)'!AK7-'B2C Cost Est (FY08)'!AK7</f>
        <v>0</v>
      </c>
      <c r="AL7" s="14">
        <f>'SDR Cost Estimate (FY08)'!AL7-'B2C Cost Est (FY08)'!AL7</f>
        <v>0</v>
      </c>
      <c r="AM7" s="14">
        <f>'SDR Cost Estimate (FY08)'!AM7-'B2C Cost Est (FY08)'!AM7</f>
        <v>0</v>
      </c>
      <c r="AN7" s="14">
        <f>'SDR Cost Estimate (FY08)'!AN7-'B2C Cost Est (FY08)'!AN7</f>
        <v>0</v>
      </c>
      <c r="AO7" s="14">
        <f>'SDR Cost Estimate (FY08)'!AO7-'B2C Cost Est (FY08)'!AO7</f>
        <v>0</v>
      </c>
      <c r="AP7" s="14">
        <f>'SDR Cost Estimate (FY08)'!AP7-'B2C Cost Est (FY08)'!AP7</f>
        <v>0</v>
      </c>
      <c r="AQ7" s="14">
        <f t="shared" si="3"/>
        <v>0</v>
      </c>
      <c r="AR7" s="16"/>
      <c r="AS7" s="17"/>
      <c r="AU7" s="14">
        <f>'SDR Cost Estimate (FY08)'!AU7-'B2C Cost Est (FY08)'!AU7</f>
        <v>0</v>
      </c>
      <c r="AV7" s="15">
        <f>'SDR Cost Estimate (FY08)'!AV7-'B2C Cost Est (FY08)'!AV7</f>
        <v>0</v>
      </c>
      <c r="AW7" s="14">
        <f>'SDR Cost Estimate (FY08)'!AW7-'B2C Cost Est (FY08)'!AW7</f>
        <v>0</v>
      </c>
      <c r="AX7" s="14">
        <f>'SDR Cost Estimate (FY08)'!AX7-'B2C Cost Est (FY08)'!AX7</f>
        <v>0</v>
      </c>
      <c r="AY7" s="14">
        <f>'SDR Cost Estimate (FY08)'!AY7-'B2C Cost Est (FY08)'!AY7</f>
        <v>0</v>
      </c>
      <c r="AZ7" s="14">
        <f>'SDR Cost Estimate (FY08)'!AZ7-'B2C Cost Est (FY08)'!AZ7</f>
        <v>0</v>
      </c>
      <c r="BA7" s="14">
        <f>'SDR Cost Estimate (FY08)'!BA7-'B2C Cost Est (FY08)'!BA7</f>
        <v>0</v>
      </c>
      <c r="BB7" s="14">
        <f t="shared" si="4"/>
        <v>0</v>
      </c>
      <c r="BC7" s="16"/>
      <c r="BD7" s="17"/>
    </row>
    <row r="8" spans="1:56" ht="12.75" hidden="1">
      <c r="A8" s="13">
        <v>2.4</v>
      </c>
      <c r="B8" s="13" t="s">
        <v>852</v>
      </c>
      <c r="C8" s="14">
        <f>'SDR Cost Estimate (FY08)'!C8-'B2C Cost Est (FY08)'!C8</f>
        <v>0</v>
      </c>
      <c r="D8" s="15">
        <f>'SDR Cost Estimate (FY08)'!D8-'B2C Cost Est (FY08)'!D8</f>
        <v>0</v>
      </c>
      <c r="E8" s="14">
        <f>'SDR Cost Estimate (FY08)'!E8-'B2C Cost Est (FY08)'!E8</f>
        <v>0</v>
      </c>
      <c r="F8" s="14">
        <f>'SDR Cost Estimate (FY08)'!F8-'B2C Cost Est (FY08)'!F8</f>
        <v>0</v>
      </c>
      <c r="G8" s="14">
        <f>'SDR Cost Estimate (FY08)'!G8-'B2C Cost Est (FY08)'!G8</f>
        <v>0</v>
      </c>
      <c r="H8" s="14">
        <f>'SDR Cost Estimate (FY08)'!H8-'B2C Cost Est (FY08)'!H8</f>
        <v>0</v>
      </c>
      <c r="I8" s="14">
        <f>'SDR Cost Estimate (FY08)'!I8-'B2C Cost Est (FY08)'!I8</f>
        <v>0</v>
      </c>
      <c r="J8" s="14">
        <f t="shared" si="0"/>
        <v>0</v>
      </c>
      <c r="K8" s="16"/>
      <c r="L8" s="17"/>
      <c r="N8" s="14">
        <f>'SDR Cost Estimate (FY08)'!N8-'B2C Cost Est (FY08)'!N8</f>
        <v>0</v>
      </c>
      <c r="O8" s="15">
        <f>'SDR Cost Estimate (FY08)'!O8-'B2C Cost Est (FY08)'!O8</f>
        <v>0</v>
      </c>
      <c r="P8" s="14">
        <f>'SDR Cost Estimate (FY08)'!P8-'B2C Cost Est (FY08)'!P8</f>
        <v>0</v>
      </c>
      <c r="Q8" s="14">
        <f>'SDR Cost Estimate (FY08)'!Q8-'B2C Cost Est (FY08)'!Q8</f>
        <v>0</v>
      </c>
      <c r="R8" s="14">
        <f>'SDR Cost Estimate (FY08)'!R8-'B2C Cost Est (FY08)'!R8</f>
        <v>0</v>
      </c>
      <c r="S8" s="14">
        <f>'SDR Cost Estimate (FY08)'!S8-'B2C Cost Est (FY08)'!S8</f>
        <v>0</v>
      </c>
      <c r="T8" s="14">
        <f>'SDR Cost Estimate (FY08)'!T8-'B2C Cost Est (FY08)'!T8</f>
        <v>0</v>
      </c>
      <c r="U8" s="14">
        <f t="shared" si="1"/>
        <v>0</v>
      </c>
      <c r="V8" s="16"/>
      <c r="W8" s="17"/>
      <c r="Y8" s="14">
        <f>'SDR Cost Estimate (FY08)'!Y8-'B2C Cost Est (FY08)'!Y8</f>
        <v>0</v>
      </c>
      <c r="Z8" s="15">
        <f>'SDR Cost Estimate (FY08)'!Z8-'B2C Cost Est (FY08)'!Z8</f>
        <v>0</v>
      </c>
      <c r="AA8" s="14">
        <f>'SDR Cost Estimate (FY08)'!AA8-'B2C Cost Est (FY08)'!AA8</f>
        <v>0</v>
      </c>
      <c r="AB8" s="14">
        <f>'SDR Cost Estimate (FY08)'!AB8-'B2C Cost Est (FY08)'!AB8</f>
        <v>0</v>
      </c>
      <c r="AC8" s="14">
        <f>'SDR Cost Estimate (FY08)'!AC8-'B2C Cost Est (FY08)'!AC8</f>
        <v>0</v>
      </c>
      <c r="AD8" s="14">
        <f>'SDR Cost Estimate (FY08)'!AD8-'B2C Cost Est (FY08)'!AD8</f>
        <v>0</v>
      </c>
      <c r="AE8" s="14">
        <f>'SDR Cost Estimate (FY08)'!AE8-'B2C Cost Est (FY08)'!AE8</f>
        <v>0</v>
      </c>
      <c r="AF8" s="14">
        <f t="shared" si="2"/>
        <v>0</v>
      </c>
      <c r="AG8" s="16"/>
      <c r="AH8" s="17"/>
      <c r="AJ8" s="14">
        <f>'SDR Cost Estimate (FY08)'!AJ8-'B2C Cost Est (FY08)'!AJ8</f>
        <v>0</v>
      </c>
      <c r="AK8" s="15">
        <f>'SDR Cost Estimate (FY08)'!AK8-'B2C Cost Est (FY08)'!AK8</f>
        <v>0</v>
      </c>
      <c r="AL8" s="14">
        <f>'SDR Cost Estimate (FY08)'!AL8-'B2C Cost Est (FY08)'!AL8</f>
        <v>0</v>
      </c>
      <c r="AM8" s="14">
        <f>'SDR Cost Estimate (FY08)'!AM8-'B2C Cost Est (FY08)'!AM8</f>
        <v>0</v>
      </c>
      <c r="AN8" s="14">
        <f>'SDR Cost Estimate (FY08)'!AN8-'B2C Cost Est (FY08)'!AN8</f>
        <v>0</v>
      </c>
      <c r="AO8" s="14">
        <f>'SDR Cost Estimate (FY08)'!AO8-'B2C Cost Est (FY08)'!AO8</f>
        <v>0</v>
      </c>
      <c r="AP8" s="14">
        <f>'SDR Cost Estimate (FY08)'!AP8-'B2C Cost Est (FY08)'!AP8</f>
        <v>0</v>
      </c>
      <c r="AQ8" s="14">
        <f t="shared" si="3"/>
        <v>0</v>
      </c>
      <c r="AR8" s="16"/>
      <c r="AS8" s="17"/>
      <c r="AU8" s="14">
        <f>'SDR Cost Estimate (FY08)'!AU8-'B2C Cost Est (FY08)'!AU8</f>
        <v>0</v>
      </c>
      <c r="AV8" s="15">
        <f>'SDR Cost Estimate (FY08)'!AV8-'B2C Cost Est (FY08)'!AV8</f>
        <v>0</v>
      </c>
      <c r="AW8" s="14">
        <f>'SDR Cost Estimate (FY08)'!AW8-'B2C Cost Est (FY08)'!AW8</f>
        <v>0</v>
      </c>
      <c r="AX8" s="14">
        <f>'SDR Cost Estimate (FY08)'!AX8-'B2C Cost Est (FY08)'!AX8</f>
        <v>0</v>
      </c>
      <c r="AY8" s="14">
        <f>'SDR Cost Estimate (FY08)'!AY8-'B2C Cost Est (FY08)'!AY8</f>
        <v>0</v>
      </c>
      <c r="AZ8" s="14">
        <f>'SDR Cost Estimate (FY08)'!AZ8-'B2C Cost Est (FY08)'!AZ8</f>
        <v>0</v>
      </c>
      <c r="BA8" s="14">
        <f>'SDR Cost Estimate (FY08)'!BA8-'B2C Cost Est (FY08)'!BA8</f>
        <v>0</v>
      </c>
      <c r="BB8" s="14">
        <f t="shared" si="4"/>
        <v>0</v>
      </c>
      <c r="BC8" s="16"/>
      <c r="BD8" s="17"/>
    </row>
    <row r="9" spans="1:56" ht="12.75" hidden="1">
      <c r="A9" s="13">
        <v>2.5</v>
      </c>
      <c r="B9" s="13" t="s">
        <v>853</v>
      </c>
      <c r="C9" s="14">
        <f>'SDR Cost Estimate (FY08)'!C9-'B2C Cost Est (FY08)'!C9</f>
        <v>0</v>
      </c>
      <c r="D9" s="15">
        <f>'SDR Cost Estimate (FY08)'!D9-'B2C Cost Est (FY08)'!D9</f>
        <v>0</v>
      </c>
      <c r="E9" s="14">
        <f>'SDR Cost Estimate (FY08)'!E9-'B2C Cost Est (FY08)'!E9</f>
        <v>0</v>
      </c>
      <c r="F9" s="14">
        <f>'SDR Cost Estimate (FY08)'!F9-'B2C Cost Est (FY08)'!F9</f>
        <v>0</v>
      </c>
      <c r="G9" s="14">
        <f>'SDR Cost Estimate (FY08)'!G9-'B2C Cost Est (FY08)'!G9</f>
        <v>0</v>
      </c>
      <c r="H9" s="14">
        <f>'SDR Cost Estimate (FY08)'!H9-'B2C Cost Est (FY08)'!H9</f>
        <v>0</v>
      </c>
      <c r="I9" s="14">
        <f>'SDR Cost Estimate (FY08)'!I9-'B2C Cost Est (FY08)'!I9</f>
        <v>0</v>
      </c>
      <c r="J9" s="14">
        <f t="shared" si="0"/>
        <v>0</v>
      </c>
      <c r="K9" s="16"/>
      <c r="L9" s="17"/>
      <c r="N9" s="14">
        <f>'SDR Cost Estimate (FY08)'!N9-'B2C Cost Est (FY08)'!N9</f>
        <v>0</v>
      </c>
      <c r="O9" s="15">
        <f>'SDR Cost Estimate (FY08)'!O9-'B2C Cost Est (FY08)'!O9</f>
        <v>0</v>
      </c>
      <c r="P9" s="14">
        <f>'SDR Cost Estimate (FY08)'!P9-'B2C Cost Est (FY08)'!P9</f>
        <v>0</v>
      </c>
      <c r="Q9" s="14">
        <f>'SDR Cost Estimate (FY08)'!Q9-'B2C Cost Est (FY08)'!Q9</f>
        <v>0</v>
      </c>
      <c r="R9" s="14">
        <f>'SDR Cost Estimate (FY08)'!R9-'B2C Cost Est (FY08)'!R9</f>
        <v>0</v>
      </c>
      <c r="S9" s="14">
        <f>'SDR Cost Estimate (FY08)'!S9-'B2C Cost Est (FY08)'!S9</f>
        <v>0</v>
      </c>
      <c r="T9" s="14">
        <f>'SDR Cost Estimate (FY08)'!T9-'B2C Cost Est (FY08)'!T9</f>
        <v>0</v>
      </c>
      <c r="U9" s="14">
        <f t="shared" si="1"/>
        <v>0</v>
      </c>
      <c r="V9" s="16"/>
      <c r="W9" s="17"/>
      <c r="Y9" s="14">
        <f>'SDR Cost Estimate (FY08)'!Y9-'B2C Cost Est (FY08)'!Y9</f>
        <v>0</v>
      </c>
      <c r="Z9" s="15">
        <f>'SDR Cost Estimate (FY08)'!Z9-'B2C Cost Est (FY08)'!Z9</f>
        <v>0</v>
      </c>
      <c r="AA9" s="14">
        <f>'SDR Cost Estimate (FY08)'!AA9-'B2C Cost Est (FY08)'!AA9</f>
        <v>0</v>
      </c>
      <c r="AB9" s="14">
        <f>'SDR Cost Estimate (FY08)'!AB9-'B2C Cost Est (FY08)'!AB9</f>
        <v>0</v>
      </c>
      <c r="AC9" s="14">
        <f>'SDR Cost Estimate (FY08)'!AC9-'B2C Cost Est (FY08)'!AC9</f>
        <v>0</v>
      </c>
      <c r="AD9" s="14">
        <f>'SDR Cost Estimate (FY08)'!AD9-'B2C Cost Est (FY08)'!AD9</f>
        <v>0</v>
      </c>
      <c r="AE9" s="14">
        <f>'SDR Cost Estimate (FY08)'!AE9-'B2C Cost Est (FY08)'!AE9</f>
        <v>0</v>
      </c>
      <c r="AF9" s="14">
        <f t="shared" si="2"/>
        <v>0</v>
      </c>
      <c r="AG9" s="16"/>
      <c r="AH9" s="17"/>
      <c r="AJ9" s="14">
        <f>'SDR Cost Estimate (FY08)'!AJ9-'B2C Cost Est (FY08)'!AJ9</f>
        <v>0</v>
      </c>
      <c r="AK9" s="15">
        <f>'SDR Cost Estimate (FY08)'!AK9-'B2C Cost Est (FY08)'!AK9</f>
        <v>0</v>
      </c>
      <c r="AL9" s="14">
        <f>'SDR Cost Estimate (FY08)'!AL9-'B2C Cost Est (FY08)'!AL9</f>
        <v>0</v>
      </c>
      <c r="AM9" s="14">
        <f>'SDR Cost Estimate (FY08)'!AM9-'B2C Cost Est (FY08)'!AM9</f>
        <v>0</v>
      </c>
      <c r="AN9" s="14">
        <f>'SDR Cost Estimate (FY08)'!AN9-'B2C Cost Est (FY08)'!AN9</f>
        <v>0</v>
      </c>
      <c r="AO9" s="14">
        <f>'SDR Cost Estimate (FY08)'!AO9-'B2C Cost Est (FY08)'!AO9</f>
        <v>0</v>
      </c>
      <c r="AP9" s="14">
        <f>'SDR Cost Estimate (FY08)'!AP9-'B2C Cost Est (FY08)'!AP9</f>
        <v>0</v>
      </c>
      <c r="AQ9" s="14">
        <f t="shared" si="3"/>
        <v>0</v>
      </c>
      <c r="AR9" s="16"/>
      <c r="AS9" s="17"/>
      <c r="AU9" s="14">
        <f>'SDR Cost Estimate (FY08)'!AU9-'B2C Cost Est (FY08)'!AU9</f>
        <v>0</v>
      </c>
      <c r="AV9" s="15">
        <f>'SDR Cost Estimate (FY08)'!AV9-'B2C Cost Est (FY08)'!AV9</f>
        <v>0</v>
      </c>
      <c r="AW9" s="14">
        <f>'SDR Cost Estimate (FY08)'!AW9-'B2C Cost Est (FY08)'!AW9</f>
        <v>0</v>
      </c>
      <c r="AX9" s="14">
        <f>'SDR Cost Estimate (FY08)'!AX9-'B2C Cost Est (FY08)'!AX9</f>
        <v>0</v>
      </c>
      <c r="AY9" s="14">
        <f>'SDR Cost Estimate (FY08)'!AY9-'B2C Cost Est (FY08)'!AY9</f>
        <v>0</v>
      </c>
      <c r="AZ9" s="14">
        <f>'SDR Cost Estimate (FY08)'!AZ9-'B2C Cost Est (FY08)'!AZ9</f>
        <v>0</v>
      </c>
      <c r="BA9" s="14">
        <f>'SDR Cost Estimate (FY08)'!BA9-'B2C Cost Est (FY08)'!BA9</f>
        <v>0</v>
      </c>
      <c r="BB9" s="14">
        <f t="shared" si="4"/>
        <v>0</v>
      </c>
      <c r="BC9" s="16"/>
      <c r="BD9" s="17"/>
    </row>
    <row r="10" spans="1:56" ht="12.75" hidden="1">
      <c r="A10" s="13">
        <v>2.6</v>
      </c>
      <c r="B10" s="13" t="s">
        <v>854</v>
      </c>
      <c r="C10" s="14">
        <f>'SDR Cost Estimate (FY08)'!C10-'B2C Cost Est (FY08)'!C10</f>
        <v>0</v>
      </c>
      <c r="D10" s="15">
        <f>'SDR Cost Estimate (FY08)'!D10-'B2C Cost Est (FY08)'!D10</f>
        <v>0</v>
      </c>
      <c r="E10" s="14">
        <f>'SDR Cost Estimate (FY08)'!E10-'B2C Cost Est (FY08)'!E10</f>
        <v>0</v>
      </c>
      <c r="F10" s="14">
        <f>'SDR Cost Estimate (FY08)'!F10-'B2C Cost Est (FY08)'!F10</f>
        <v>0</v>
      </c>
      <c r="G10" s="14">
        <f>'SDR Cost Estimate (FY08)'!G10-'B2C Cost Est (FY08)'!G10</f>
        <v>0</v>
      </c>
      <c r="H10" s="14">
        <f>'SDR Cost Estimate (FY08)'!H10-'B2C Cost Est (FY08)'!H10</f>
        <v>0</v>
      </c>
      <c r="I10" s="14">
        <f>'SDR Cost Estimate (FY08)'!I10-'B2C Cost Est (FY08)'!I10</f>
        <v>0</v>
      </c>
      <c r="J10" s="14">
        <f t="shared" si="0"/>
        <v>0</v>
      </c>
      <c r="K10" s="16"/>
      <c r="L10" s="17"/>
      <c r="N10" s="14">
        <f>'SDR Cost Estimate (FY08)'!N10-'B2C Cost Est (FY08)'!N10</f>
        <v>0</v>
      </c>
      <c r="O10" s="15">
        <f>'SDR Cost Estimate (FY08)'!O10-'B2C Cost Est (FY08)'!O10</f>
        <v>0</v>
      </c>
      <c r="P10" s="14">
        <f>'SDR Cost Estimate (FY08)'!P10-'B2C Cost Est (FY08)'!P10</f>
        <v>0</v>
      </c>
      <c r="Q10" s="14">
        <f>'SDR Cost Estimate (FY08)'!Q10-'B2C Cost Est (FY08)'!Q10</f>
        <v>0</v>
      </c>
      <c r="R10" s="14">
        <f>'SDR Cost Estimate (FY08)'!R10-'B2C Cost Est (FY08)'!R10</f>
        <v>0</v>
      </c>
      <c r="S10" s="14">
        <f>'SDR Cost Estimate (FY08)'!S10-'B2C Cost Est (FY08)'!S10</f>
        <v>0</v>
      </c>
      <c r="T10" s="14">
        <f>'SDR Cost Estimate (FY08)'!T10-'B2C Cost Est (FY08)'!T10</f>
        <v>0</v>
      </c>
      <c r="U10" s="14">
        <f t="shared" si="1"/>
        <v>0</v>
      </c>
      <c r="V10" s="16"/>
      <c r="W10" s="17"/>
      <c r="Y10" s="14">
        <f>'SDR Cost Estimate (FY08)'!Y10-'B2C Cost Est (FY08)'!Y10</f>
        <v>0</v>
      </c>
      <c r="Z10" s="15">
        <f>'SDR Cost Estimate (FY08)'!Z10-'B2C Cost Est (FY08)'!Z10</f>
        <v>0</v>
      </c>
      <c r="AA10" s="14">
        <f>'SDR Cost Estimate (FY08)'!AA10-'B2C Cost Est (FY08)'!AA10</f>
        <v>0</v>
      </c>
      <c r="AB10" s="14">
        <f>'SDR Cost Estimate (FY08)'!AB10-'B2C Cost Est (FY08)'!AB10</f>
        <v>0</v>
      </c>
      <c r="AC10" s="14">
        <f>'SDR Cost Estimate (FY08)'!AC10-'B2C Cost Est (FY08)'!AC10</f>
        <v>0</v>
      </c>
      <c r="AD10" s="14">
        <f>'SDR Cost Estimate (FY08)'!AD10-'B2C Cost Est (FY08)'!AD10</f>
        <v>0</v>
      </c>
      <c r="AE10" s="14">
        <f>'SDR Cost Estimate (FY08)'!AE10-'B2C Cost Est (FY08)'!AE10</f>
        <v>0</v>
      </c>
      <c r="AF10" s="14">
        <f t="shared" si="2"/>
        <v>0</v>
      </c>
      <c r="AG10" s="16"/>
      <c r="AH10" s="17"/>
      <c r="AJ10" s="14">
        <f>'SDR Cost Estimate (FY08)'!AJ10-'B2C Cost Est (FY08)'!AJ10</f>
        <v>0</v>
      </c>
      <c r="AK10" s="15">
        <f>'SDR Cost Estimate (FY08)'!AK10-'B2C Cost Est (FY08)'!AK10</f>
        <v>0</v>
      </c>
      <c r="AL10" s="14">
        <f>'SDR Cost Estimate (FY08)'!AL10-'B2C Cost Est (FY08)'!AL10</f>
        <v>0</v>
      </c>
      <c r="AM10" s="14">
        <f>'SDR Cost Estimate (FY08)'!AM10-'B2C Cost Est (FY08)'!AM10</f>
        <v>0</v>
      </c>
      <c r="AN10" s="14">
        <f>'SDR Cost Estimate (FY08)'!AN10-'B2C Cost Est (FY08)'!AN10</f>
        <v>0</v>
      </c>
      <c r="AO10" s="14">
        <f>'SDR Cost Estimate (FY08)'!AO10-'B2C Cost Est (FY08)'!AO10</f>
        <v>0</v>
      </c>
      <c r="AP10" s="14">
        <f>'SDR Cost Estimate (FY08)'!AP10-'B2C Cost Est (FY08)'!AP10</f>
        <v>0</v>
      </c>
      <c r="AQ10" s="14">
        <f t="shared" si="3"/>
        <v>0</v>
      </c>
      <c r="AR10" s="16"/>
      <c r="AS10" s="17"/>
      <c r="AU10" s="14">
        <f>'SDR Cost Estimate (FY08)'!AU10-'B2C Cost Est (FY08)'!AU10</f>
        <v>0</v>
      </c>
      <c r="AV10" s="15">
        <f>'SDR Cost Estimate (FY08)'!AV10-'B2C Cost Est (FY08)'!AV10</f>
        <v>0</v>
      </c>
      <c r="AW10" s="14">
        <f>'SDR Cost Estimate (FY08)'!AW10-'B2C Cost Est (FY08)'!AW10</f>
        <v>0</v>
      </c>
      <c r="AX10" s="14">
        <f>'SDR Cost Estimate (FY08)'!AX10-'B2C Cost Est (FY08)'!AX10</f>
        <v>0</v>
      </c>
      <c r="AY10" s="14">
        <f>'SDR Cost Estimate (FY08)'!AY10-'B2C Cost Est (FY08)'!AY10</f>
        <v>0</v>
      </c>
      <c r="AZ10" s="14">
        <f>'SDR Cost Estimate (FY08)'!AZ10-'B2C Cost Est (FY08)'!AZ10</f>
        <v>0</v>
      </c>
      <c r="BA10" s="14">
        <f>'SDR Cost Estimate (FY08)'!BA10-'B2C Cost Est (FY08)'!BA10</f>
        <v>0</v>
      </c>
      <c r="BB10" s="14">
        <f t="shared" si="4"/>
        <v>0</v>
      </c>
      <c r="BC10" s="16"/>
      <c r="BD10" s="17"/>
    </row>
    <row r="11" spans="1:56" ht="12.75" hidden="1">
      <c r="A11" s="13">
        <v>2.7</v>
      </c>
      <c r="B11" s="13" t="s">
        <v>855</v>
      </c>
      <c r="C11" s="14">
        <f>'SDR Cost Estimate (FY08)'!C11-'B2C Cost Est (FY08)'!C11</f>
        <v>1660.0999999999985</v>
      </c>
      <c r="D11" s="15">
        <f>'SDR Cost Estimate (FY08)'!D11-'B2C Cost Est (FY08)'!D11</f>
        <v>0.9222777777777775</v>
      </c>
      <c r="E11" s="14">
        <f>'SDR Cost Estimate (FY08)'!E11-'B2C Cost Est (FY08)'!E11</f>
        <v>0</v>
      </c>
      <c r="F11" s="14">
        <f>'SDR Cost Estimate (FY08)'!F11-'B2C Cost Est (FY08)'!F11</f>
        <v>84.04291999999919</v>
      </c>
      <c r="G11" s="14">
        <f>'SDR Cost Estimate (FY08)'!G11-'B2C Cost Est (FY08)'!G11</f>
        <v>0</v>
      </c>
      <c r="H11" s="14">
        <f>'SDR Cost Estimate (FY08)'!H11-'B2C Cost Est (FY08)'!H11</f>
        <v>0</v>
      </c>
      <c r="I11" s="14">
        <f>'SDR Cost Estimate (FY08)'!I11-'B2C Cost Est (FY08)'!I11</f>
        <v>7.689758995518332</v>
      </c>
      <c r="J11" s="14">
        <f t="shared" si="0"/>
        <v>91.73267899551752</v>
      </c>
      <c r="K11" s="16"/>
      <c r="L11" s="17"/>
      <c r="N11" s="14">
        <f>'SDR Cost Estimate (FY08)'!N11-'B2C Cost Est (FY08)'!N11</f>
        <v>336.0999999999999</v>
      </c>
      <c r="O11" s="15">
        <f>'SDR Cost Estimate (FY08)'!O11-'B2C Cost Est (FY08)'!O11</f>
        <v>0.186722222222222</v>
      </c>
      <c r="P11" s="14">
        <f>'SDR Cost Estimate (FY08)'!P11-'B2C Cost Est (FY08)'!P11</f>
        <v>0</v>
      </c>
      <c r="Q11" s="14">
        <f>'SDR Cost Estimate (FY08)'!Q11-'B2C Cost Est (FY08)'!Q11</f>
        <v>16.55885555555514</v>
      </c>
      <c r="R11" s="14">
        <f>'SDR Cost Estimate (FY08)'!R11-'B2C Cost Est (FY08)'!R11</f>
        <v>0</v>
      </c>
      <c r="S11" s="14">
        <f>'SDR Cost Estimate (FY08)'!S11-'B2C Cost Est (FY08)'!S11</f>
        <v>0</v>
      </c>
      <c r="T11" s="14">
        <f>'SDR Cost Estimate (FY08)'!T11-'B2C Cost Est (FY08)'!T11</f>
        <v>1.3247080217166527</v>
      </c>
      <c r="U11" s="14">
        <f t="shared" si="1"/>
        <v>17.883563577271794</v>
      </c>
      <c r="V11" s="16"/>
      <c r="W11" s="17"/>
      <c r="Y11" s="14">
        <f>'SDR Cost Estimate (FY08)'!Y11-'B2C Cost Est (FY08)'!Y11</f>
        <v>399</v>
      </c>
      <c r="Z11" s="15">
        <f>'SDR Cost Estimate (FY08)'!Z11-'B2C Cost Est (FY08)'!Z11</f>
        <v>0.22166666666666668</v>
      </c>
      <c r="AA11" s="14">
        <f>'SDR Cost Estimate (FY08)'!AA11-'B2C Cost Est (FY08)'!AA11</f>
        <v>0</v>
      </c>
      <c r="AB11" s="14">
        <f>'SDR Cost Estimate (FY08)'!AB11-'B2C Cost Est (FY08)'!AB11</f>
        <v>19.16779777777751</v>
      </c>
      <c r="AC11" s="14">
        <f>'SDR Cost Estimate (FY08)'!AC11-'B2C Cost Est (FY08)'!AC11</f>
        <v>0</v>
      </c>
      <c r="AD11" s="14">
        <f>'SDR Cost Estimate (FY08)'!AD11-'B2C Cost Est (FY08)'!AD11</f>
        <v>0</v>
      </c>
      <c r="AE11" s="14">
        <f>'SDR Cost Estimate (FY08)'!AE11-'B2C Cost Est (FY08)'!AE11</f>
        <v>1.5334232642840107</v>
      </c>
      <c r="AF11" s="14">
        <f t="shared" si="2"/>
        <v>20.70122104206152</v>
      </c>
      <c r="AG11" s="16"/>
      <c r="AH11" s="17"/>
      <c r="AJ11" s="14">
        <f>'SDR Cost Estimate (FY08)'!AJ11-'B2C Cost Est (FY08)'!AJ11</f>
        <v>925</v>
      </c>
      <c r="AK11" s="15">
        <f>'SDR Cost Estimate (FY08)'!AK11-'B2C Cost Est (FY08)'!AK11</f>
        <v>0.5138888888888893</v>
      </c>
      <c r="AL11" s="14">
        <f>'SDR Cost Estimate (FY08)'!AL11-'B2C Cost Est (FY08)'!AL11</f>
        <v>0</v>
      </c>
      <c r="AM11" s="14">
        <f>'SDR Cost Estimate (FY08)'!AM11-'B2C Cost Est (FY08)'!AM11</f>
        <v>48.316266666666365</v>
      </c>
      <c r="AN11" s="14">
        <f>'SDR Cost Estimate (FY08)'!AN11-'B2C Cost Est (FY08)'!AN11</f>
        <v>0</v>
      </c>
      <c r="AO11" s="14">
        <f>'SDR Cost Estimate (FY08)'!AO11-'B2C Cost Est (FY08)'!AO11</f>
        <v>0</v>
      </c>
      <c r="AP11" s="14">
        <f>'SDR Cost Estimate (FY08)'!AP11-'B2C Cost Est (FY08)'!AP11</f>
        <v>4.831627709517676</v>
      </c>
      <c r="AQ11" s="14">
        <f t="shared" si="3"/>
        <v>53.14789437618404</v>
      </c>
      <c r="AR11" s="16"/>
      <c r="AS11" s="17"/>
      <c r="AU11" s="14">
        <f>'SDR Cost Estimate (FY08)'!AU11-'B2C Cost Est (FY08)'!AU11</f>
        <v>0</v>
      </c>
      <c r="AV11" s="15">
        <f>'SDR Cost Estimate (FY08)'!AV11-'B2C Cost Est (FY08)'!AV11</f>
        <v>0</v>
      </c>
      <c r="AW11" s="14">
        <f>'SDR Cost Estimate (FY08)'!AW11-'B2C Cost Est (FY08)'!AW11</f>
        <v>0</v>
      </c>
      <c r="AX11" s="14">
        <f>'SDR Cost Estimate (FY08)'!AX11-'B2C Cost Est (FY08)'!AX11</f>
        <v>0</v>
      </c>
      <c r="AY11" s="14">
        <f>'SDR Cost Estimate (FY08)'!AY11-'B2C Cost Est (FY08)'!AY11</f>
        <v>0</v>
      </c>
      <c r="AZ11" s="14">
        <f>'SDR Cost Estimate (FY08)'!AZ11-'B2C Cost Est (FY08)'!AZ11</f>
        <v>0</v>
      </c>
      <c r="BA11" s="14">
        <f>'SDR Cost Estimate (FY08)'!BA11-'B2C Cost Est (FY08)'!BA11</f>
        <v>0</v>
      </c>
      <c r="BB11" s="14">
        <f t="shared" si="4"/>
        <v>0</v>
      </c>
      <c r="BC11" s="16"/>
      <c r="BD11" s="17"/>
    </row>
    <row r="12" spans="1:56" ht="12.75" hidden="1">
      <c r="A12" s="8">
        <v>3</v>
      </c>
      <c r="B12" s="9" t="s">
        <v>856</v>
      </c>
      <c r="C12" s="10"/>
      <c r="D12" s="10"/>
      <c r="E12" s="10"/>
      <c r="F12" s="10"/>
      <c r="G12" s="10"/>
      <c r="H12" s="10"/>
      <c r="I12" s="10"/>
      <c r="J12" s="10"/>
      <c r="K12" s="11">
        <f>L12/L$108</f>
        <v>0.05322353126287316</v>
      </c>
      <c r="L12" s="12">
        <f>SUM(J13:J35)</f>
        <v>113.55750013373947</v>
      </c>
      <c r="N12" s="10"/>
      <c r="O12" s="10"/>
      <c r="P12" s="10"/>
      <c r="Q12" s="10"/>
      <c r="R12" s="10"/>
      <c r="S12" s="10"/>
      <c r="T12" s="10"/>
      <c r="U12" s="10"/>
      <c r="V12" s="10"/>
      <c r="W12" s="12">
        <f>SUM(U13:U35)</f>
        <v>113.5575001337395</v>
      </c>
      <c r="Y12" s="10"/>
      <c r="Z12" s="10"/>
      <c r="AA12" s="10"/>
      <c r="AB12" s="10"/>
      <c r="AC12" s="10"/>
      <c r="AD12" s="10"/>
      <c r="AE12" s="10"/>
      <c r="AF12" s="10"/>
      <c r="AG12" s="10"/>
      <c r="AH12" s="12">
        <f>SUM(AF13:AF35)</f>
        <v>0</v>
      </c>
      <c r="AJ12" s="10"/>
      <c r="AK12" s="10"/>
      <c r="AL12" s="10"/>
      <c r="AM12" s="10"/>
      <c r="AN12" s="10"/>
      <c r="AO12" s="10"/>
      <c r="AP12" s="10"/>
      <c r="AQ12" s="10"/>
      <c r="AR12" s="10"/>
      <c r="AS12" s="12">
        <f>SUM(AQ13:AQ35)</f>
        <v>0</v>
      </c>
      <c r="AU12" s="10"/>
      <c r="AV12" s="10"/>
      <c r="AW12" s="10"/>
      <c r="AX12" s="10"/>
      <c r="AY12" s="10"/>
      <c r="AZ12" s="10"/>
      <c r="BA12" s="10"/>
      <c r="BB12" s="10"/>
      <c r="BC12" s="10"/>
      <c r="BD12" s="12">
        <f>SUM(BB13:BB35)</f>
        <v>0</v>
      </c>
    </row>
    <row r="13" spans="1:55" ht="12.75" hidden="1">
      <c r="A13" s="13">
        <v>3.1</v>
      </c>
      <c r="B13" s="19" t="s">
        <v>857</v>
      </c>
      <c r="C13" s="20"/>
      <c r="D13" s="21"/>
      <c r="E13" s="20"/>
      <c r="F13" s="20"/>
      <c r="G13" s="20"/>
      <c r="H13" s="20"/>
      <c r="I13" s="20"/>
      <c r="J13" s="20"/>
      <c r="K13" s="22"/>
      <c r="N13" s="20"/>
      <c r="O13" s="21"/>
      <c r="P13" s="20"/>
      <c r="Q13" s="20"/>
      <c r="R13" s="20"/>
      <c r="S13" s="20"/>
      <c r="T13" s="20"/>
      <c r="U13" s="20"/>
      <c r="V13" s="22"/>
      <c r="Y13" s="20"/>
      <c r="Z13" s="21"/>
      <c r="AA13" s="20"/>
      <c r="AB13" s="20"/>
      <c r="AC13" s="20"/>
      <c r="AD13" s="20"/>
      <c r="AE13" s="20"/>
      <c r="AF13" s="20"/>
      <c r="AG13" s="22"/>
      <c r="AJ13" s="20"/>
      <c r="AK13" s="21"/>
      <c r="AL13" s="20"/>
      <c r="AM13" s="20"/>
      <c r="AN13" s="20"/>
      <c r="AO13" s="20"/>
      <c r="AP13" s="20"/>
      <c r="AQ13" s="20"/>
      <c r="AR13" s="22"/>
      <c r="AU13" s="20"/>
      <c r="AV13" s="21"/>
      <c r="AW13" s="20"/>
      <c r="AX13" s="20"/>
      <c r="AY13" s="20"/>
      <c r="AZ13" s="20"/>
      <c r="BA13" s="20"/>
      <c r="BB13" s="20"/>
      <c r="BC13" s="22"/>
    </row>
    <row r="14" spans="1:56" ht="12.75" hidden="1">
      <c r="A14" s="23" t="s">
        <v>858</v>
      </c>
      <c r="B14" s="13" t="s">
        <v>859</v>
      </c>
      <c r="C14" s="14">
        <f>'SDR Cost Estimate (FY08)'!C14-'B2C Cost Est (FY08)'!C14</f>
        <v>0</v>
      </c>
      <c r="D14" s="15">
        <f>'SDR Cost Estimate (FY08)'!D14-'B2C Cost Est (FY08)'!D14</f>
        <v>0</v>
      </c>
      <c r="E14" s="14">
        <f>'SDR Cost Estimate (FY08)'!E14-'B2C Cost Est (FY08)'!E14</f>
        <v>0</v>
      </c>
      <c r="F14" s="14">
        <f>'SDR Cost Estimate (FY08)'!F14-'B2C Cost Est (FY08)'!F14</f>
        <v>0</v>
      </c>
      <c r="G14" s="14">
        <f>'SDR Cost Estimate (FY08)'!G14-'B2C Cost Est (FY08)'!G14</f>
        <v>0</v>
      </c>
      <c r="H14" s="14">
        <f>'SDR Cost Estimate (FY08)'!H14-'B2C Cost Est (FY08)'!H14</f>
        <v>0</v>
      </c>
      <c r="I14" s="14">
        <f>'SDR Cost Estimate (FY08)'!I14-'B2C Cost Est (FY08)'!I14</f>
        <v>0</v>
      </c>
      <c r="J14" s="14">
        <f>SUM(F14:I14)</f>
        <v>0</v>
      </c>
      <c r="K14" s="16"/>
      <c r="L14" s="17"/>
      <c r="N14" s="14">
        <f>'SDR Cost Estimate (FY08)'!N14-'B2C Cost Est (FY08)'!N14</f>
        <v>0</v>
      </c>
      <c r="O14" s="15">
        <f>'SDR Cost Estimate (FY08)'!O14-'B2C Cost Est (FY08)'!O14</f>
        <v>0</v>
      </c>
      <c r="P14" s="14">
        <f>'SDR Cost Estimate (FY08)'!P14-'B2C Cost Est (FY08)'!P14</f>
        <v>0</v>
      </c>
      <c r="Q14" s="14">
        <f>'SDR Cost Estimate (FY08)'!Q14-'B2C Cost Est (FY08)'!Q14</f>
        <v>0</v>
      </c>
      <c r="R14" s="14">
        <f>'SDR Cost Estimate (FY08)'!R14-'B2C Cost Est (FY08)'!R14</f>
        <v>0</v>
      </c>
      <c r="S14" s="14">
        <f>'SDR Cost Estimate (FY08)'!S14-'B2C Cost Est (FY08)'!S14</f>
        <v>0</v>
      </c>
      <c r="T14" s="14">
        <f>'SDR Cost Estimate (FY08)'!T14-'B2C Cost Est (FY08)'!T14</f>
        <v>0</v>
      </c>
      <c r="U14" s="14">
        <f>SUM(Q14:T14)</f>
        <v>0</v>
      </c>
      <c r="V14" s="16"/>
      <c r="W14" s="17"/>
      <c r="Y14" s="14">
        <f>'SDR Cost Estimate (FY08)'!Y14-'B2C Cost Est (FY08)'!Y14</f>
        <v>0</v>
      </c>
      <c r="Z14" s="15">
        <f>'SDR Cost Estimate (FY08)'!Z14-'B2C Cost Est (FY08)'!Z14</f>
        <v>0</v>
      </c>
      <c r="AA14" s="14">
        <f>'SDR Cost Estimate (FY08)'!AA14-'B2C Cost Est (FY08)'!AA14</f>
        <v>0</v>
      </c>
      <c r="AB14" s="14">
        <f>'SDR Cost Estimate (FY08)'!AB14-'B2C Cost Est (FY08)'!AB14</f>
        <v>0</v>
      </c>
      <c r="AC14" s="14">
        <f>'SDR Cost Estimate (FY08)'!AC14-'B2C Cost Est (FY08)'!AC14</f>
        <v>0</v>
      </c>
      <c r="AD14" s="14">
        <f>'SDR Cost Estimate (FY08)'!AD14-'B2C Cost Est (FY08)'!AD14</f>
        <v>0</v>
      </c>
      <c r="AE14" s="14">
        <f>'SDR Cost Estimate (FY08)'!AE14-'B2C Cost Est (FY08)'!AE14</f>
        <v>0</v>
      </c>
      <c r="AF14" s="14">
        <f>SUM(AB14:AE14)</f>
        <v>0</v>
      </c>
      <c r="AG14" s="16"/>
      <c r="AH14" s="17"/>
      <c r="AJ14" s="14">
        <f>'SDR Cost Estimate (FY08)'!AJ14-'B2C Cost Est (FY08)'!AJ14</f>
        <v>0</v>
      </c>
      <c r="AK14" s="15">
        <f>'SDR Cost Estimate (FY08)'!AK14-'B2C Cost Est (FY08)'!AK14</f>
        <v>0</v>
      </c>
      <c r="AL14" s="14">
        <f>'SDR Cost Estimate (FY08)'!AL14-'B2C Cost Est (FY08)'!AL14</f>
        <v>0</v>
      </c>
      <c r="AM14" s="14">
        <f>'SDR Cost Estimate (FY08)'!AM14-'B2C Cost Est (FY08)'!AM14</f>
        <v>0</v>
      </c>
      <c r="AN14" s="14">
        <f>'SDR Cost Estimate (FY08)'!AN14-'B2C Cost Est (FY08)'!AN14</f>
        <v>0</v>
      </c>
      <c r="AO14" s="14">
        <f>'SDR Cost Estimate (FY08)'!AO14-'B2C Cost Est (FY08)'!AO14</f>
        <v>0</v>
      </c>
      <c r="AP14" s="14">
        <f>'SDR Cost Estimate (FY08)'!AP14-'B2C Cost Est (FY08)'!AP14</f>
        <v>0</v>
      </c>
      <c r="AQ14" s="14">
        <f>SUM(AM14:AP14)</f>
        <v>0</v>
      </c>
      <c r="AR14" s="16"/>
      <c r="AS14" s="17"/>
      <c r="AU14" s="14">
        <f>'SDR Cost Estimate (FY08)'!AU14-'B2C Cost Est (FY08)'!AU14</f>
        <v>0</v>
      </c>
      <c r="AV14" s="15">
        <f>'SDR Cost Estimate (FY08)'!AV14-'B2C Cost Est (FY08)'!AV14</f>
        <v>0</v>
      </c>
      <c r="AW14" s="14">
        <f>'SDR Cost Estimate (FY08)'!AW14-'B2C Cost Est (FY08)'!AW14</f>
        <v>0</v>
      </c>
      <c r="AX14" s="14">
        <f>'SDR Cost Estimate (FY08)'!AX14-'B2C Cost Est (FY08)'!AX14</f>
        <v>0</v>
      </c>
      <c r="AY14" s="14">
        <f>'SDR Cost Estimate (FY08)'!AY14-'B2C Cost Est (FY08)'!AY14</f>
        <v>0</v>
      </c>
      <c r="AZ14" s="14">
        <f>'SDR Cost Estimate (FY08)'!AZ14-'B2C Cost Est (FY08)'!AZ14</f>
        <v>0</v>
      </c>
      <c r="BA14" s="14">
        <f>'SDR Cost Estimate (FY08)'!BA14-'B2C Cost Est (FY08)'!BA14</f>
        <v>0</v>
      </c>
      <c r="BB14" s="14">
        <f>SUM(AX14:BA14)</f>
        <v>0</v>
      </c>
      <c r="BC14" s="16"/>
      <c r="BD14" s="17"/>
    </row>
    <row r="15" spans="1:56" ht="12.75" hidden="1">
      <c r="A15" s="23" t="s">
        <v>860</v>
      </c>
      <c r="B15" s="13" t="s">
        <v>861</v>
      </c>
      <c r="C15" s="14">
        <f>'SDR Cost Estimate (FY08)'!C15-'B2C Cost Est (FY08)'!C15</f>
        <v>0</v>
      </c>
      <c r="D15" s="15">
        <f>'SDR Cost Estimate (FY08)'!D15-'B2C Cost Est (FY08)'!D15</f>
        <v>0</v>
      </c>
      <c r="E15" s="14">
        <f>'SDR Cost Estimate (FY08)'!E15-'B2C Cost Est (FY08)'!E15</f>
        <v>0</v>
      </c>
      <c r="F15" s="14">
        <f>'SDR Cost Estimate (FY08)'!F15-'B2C Cost Est (FY08)'!F15</f>
        <v>0</v>
      </c>
      <c r="G15" s="14">
        <f>'SDR Cost Estimate (FY08)'!G15-'B2C Cost Est (FY08)'!G15</f>
        <v>0</v>
      </c>
      <c r="H15" s="14">
        <f>'SDR Cost Estimate (FY08)'!H15-'B2C Cost Est (FY08)'!H15</f>
        <v>0</v>
      </c>
      <c r="I15" s="14">
        <f>'SDR Cost Estimate (FY08)'!I15-'B2C Cost Est (FY08)'!I15</f>
        <v>0</v>
      </c>
      <c r="J15" s="14">
        <f aca="true" t="shared" si="5" ref="J15:J20">SUM(F15:I15)</f>
        <v>0</v>
      </c>
      <c r="K15" s="16"/>
      <c r="L15" s="17"/>
      <c r="N15" s="14">
        <f>'SDR Cost Estimate (FY08)'!N15-'B2C Cost Est (FY08)'!N15</f>
        <v>0</v>
      </c>
      <c r="O15" s="15">
        <f>'SDR Cost Estimate (FY08)'!O15-'B2C Cost Est (FY08)'!O15</f>
        <v>0</v>
      </c>
      <c r="P15" s="14">
        <f>'SDR Cost Estimate (FY08)'!P15-'B2C Cost Est (FY08)'!P15</f>
        <v>0</v>
      </c>
      <c r="Q15" s="14">
        <f>'SDR Cost Estimate (FY08)'!Q15-'B2C Cost Est (FY08)'!Q15</f>
        <v>0</v>
      </c>
      <c r="R15" s="14">
        <f>'SDR Cost Estimate (FY08)'!R15-'B2C Cost Est (FY08)'!R15</f>
        <v>0</v>
      </c>
      <c r="S15" s="14">
        <f>'SDR Cost Estimate (FY08)'!S15-'B2C Cost Est (FY08)'!S15</f>
        <v>0</v>
      </c>
      <c r="T15" s="14">
        <f>'SDR Cost Estimate (FY08)'!T15-'B2C Cost Est (FY08)'!T15</f>
        <v>0</v>
      </c>
      <c r="U15" s="14">
        <f aca="true" t="shared" si="6" ref="U15:U20">SUM(Q15:T15)</f>
        <v>0</v>
      </c>
      <c r="V15" s="16"/>
      <c r="W15" s="17"/>
      <c r="Y15" s="14">
        <f>'SDR Cost Estimate (FY08)'!Y15-'B2C Cost Est (FY08)'!Y15</f>
        <v>0</v>
      </c>
      <c r="Z15" s="15">
        <f>'SDR Cost Estimate (FY08)'!Z15-'B2C Cost Est (FY08)'!Z15</f>
        <v>0</v>
      </c>
      <c r="AA15" s="14">
        <f>'SDR Cost Estimate (FY08)'!AA15-'B2C Cost Est (FY08)'!AA15</f>
        <v>0</v>
      </c>
      <c r="AB15" s="14">
        <f>'SDR Cost Estimate (FY08)'!AB15-'B2C Cost Est (FY08)'!AB15</f>
        <v>0</v>
      </c>
      <c r="AC15" s="14">
        <f>'SDR Cost Estimate (FY08)'!AC15-'B2C Cost Est (FY08)'!AC15</f>
        <v>0</v>
      </c>
      <c r="AD15" s="14">
        <f>'SDR Cost Estimate (FY08)'!AD15-'B2C Cost Est (FY08)'!AD15</f>
        <v>0</v>
      </c>
      <c r="AE15" s="14">
        <f>'SDR Cost Estimate (FY08)'!AE15-'B2C Cost Est (FY08)'!AE15</f>
        <v>0</v>
      </c>
      <c r="AF15" s="14">
        <f aca="true" t="shared" si="7" ref="AF15:AF20">SUM(AB15:AE15)</f>
        <v>0</v>
      </c>
      <c r="AG15" s="16"/>
      <c r="AH15" s="17"/>
      <c r="AJ15" s="14">
        <f>'SDR Cost Estimate (FY08)'!AJ15-'B2C Cost Est (FY08)'!AJ15</f>
        <v>0</v>
      </c>
      <c r="AK15" s="15">
        <f>'SDR Cost Estimate (FY08)'!AK15-'B2C Cost Est (FY08)'!AK15</f>
        <v>0</v>
      </c>
      <c r="AL15" s="14">
        <f>'SDR Cost Estimate (FY08)'!AL15-'B2C Cost Est (FY08)'!AL15</f>
        <v>0</v>
      </c>
      <c r="AM15" s="14">
        <f>'SDR Cost Estimate (FY08)'!AM15-'B2C Cost Est (FY08)'!AM15</f>
        <v>0</v>
      </c>
      <c r="AN15" s="14">
        <f>'SDR Cost Estimate (FY08)'!AN15-'B2C Cost Est (FY08)'!AN15</f>
        <v>0</v>
      </c>
      <c r="AO15" s="14">
        <f>'SDR Cost Estimate (FY08)'!AO15-'B2C Cost Est (FY08)'!AO15</f>
        <v>0</v>
      </c>
      <c r="AP15" s="14">
        <f>'SDR Cost Estimate (FY08)'!AP15-'B2C Cost Est (FY08)'!AP15</f>
        <v>0</v>
      </c>
      <c r="AQ15" s="14">
        <f aca="true" t="shared" si="8" ref="AQ15:AQ20">SUM(AM15:AP15)</f>
        <v>0</v>
      </c>
      <c r="AR15" s="16"/>
      <c r="AS15" s="17"/>
      <c r="AU15" s="14">
        <f>'SDR Cost Estimate (FY08)'!AU15-'B2C Cost Est (FY08)'!AU15</f>
        <v>0</v>
      </c>
      <c r="AV15" s="15">
        <f>'SDR Cost Estimate (FY08)'!AV15-'B2C Cost Est (FY08)'!AV15</f>
        <v>0</v>
      </c>
      <c r="AW15" s="14">
        <f>'SDR Cost Estimate (FY08)'!AW15-'B2C Cost Est (FY08)'!AW15</f>
        <v>0</v>
      </c>
      <c r="AX15" s="14">
        <f>'SDR Cost Estimate (FY08)'!AX15-'B2C Cost Est (FY08)'!AX15</f>
        <v>0</v>
      </c>
      <c r="AY15" s="14">
        <f>'SDR Cost Estimate (FY08)'!AY15-'B2C Cost Est (FY08)'!AY15</f>
        <v>0</v>
      </c>
      <c r="AZ15" s="14">
        <f>'SDR Cost Estimate (FY08)'!AZ15-'B2C Cost Est (FY08)'!AZ15</f>
        <v>0</v>
      </c>
      <c r="BA15" s="14">
        <f>'SDR Cost Estimate (FY08)'!BA15-'B2C Cost Est (FY08)'!BA15</f>
        <v>0</v>
      </c>
      <c r="BB15" s="14">
        <f aca="true" t="shared" si="9" ref="BB15:BB20">SUM(AX15:BA15)</f>
        <v>0</v>
      </c>
      <c r="BC15" s="16"/>
      <c r="BD15" s="17"/>
    </row>
    <row r="16" spans="1:56" ht="12.75" hidden="1">
      <c r="A16" s="23" t="s">
        <v>862</v>
      </c>
      <c r="B16" s="13" t="s">
        <v>863</v>
      </c>
      <c r="C16" s="14">
        <f>'SDR Cost Estimate (FY08)'!C16-'B2C Cost Est (FY08)'!C16</f>
        <v>0</v>
      </c>
      <c r="D16" s="15">
        <f>'SDR Cost Estimate (FY08)'!D16-'B2C Cost Est (FY08)'!D16</f>
        <v>0</v>
      </c>
      <c r="E16" s="14">
        <f>'SDR Cost Estimate (FY08)'!E16-'B2C Cost Est (FY08)'!E16</f>
        <v>0</v>
      </c>
      <c r="F16" s="14">
        <f>'SDR Cost Estimate (FY08)'!F16-'B2C Cost Est (FY08)'!F16</f>
        <v>0</v>
      </c>
      <c r="G16" s="14">
        <f>'SDR Cost Estimate (FY08)'!G16-'B2C Cost Est (FY08)'!G16</f>
        <v>0</v>
      </c>
      <c r="H16" s="14">
        <f>'SDR Cost Estimate (FY08)'!H16-'B2C Cost Est (FY08)'!H16</f>
        <v>0</v>
      </c>
      <c r="I16" s="14">
        <f>'SDR Cost Estimate (FY08)'!I16-'B2C Cost Est (FY08)'!I16</f>
        <v>0</v>
      </c>
      <c r="J16" s="14">
        <f t="shared" si="5"/>
        <v>0</v>
      </c>
      <c r="K16" s="16"/>
      <c r="L16" s="17"/>
      <c r="N16" s="14">
        <f>'SDR Cost Estimate (FY08)'!N16-'B2C Cost Est (FY08)'!N16</f>
        <v>0</v>
      </c>
      <c r="O16" s="15">
        <f>'SDR Cost Estimate (FY08)'!O16-'B2C Cost Est (FY08)'!O16</f>
        <v>0</v>
      </c>
      <c r="P16" s="14">
        <f>'SDR Cost Estimate (FY08)'!P16-'B2C Cost Est (FY08)'!P16</f>
        <v>0</v>
      </c>
      <c r="Q16" s="14">
        <f>'SDR Cost Estimate (FY08)'!Q16-'B2C Cost Est (FY08)'!Q16</f>
        <v>0</v>
      </c>
      <c r="R16" s="14">
        <f>'SDR Cost Estimate (FY08)'!R16-'B2C Cost Est (FY08)'!R16</f>
        <v>0</v>
      </c>
      <c r="S16" s="14">
        <f>'SDR Cost Estimate (FY08)'!S16-'B2C Cost Est (FY08)'!S16</f>
        <v>0</v>
      </c>
      <c r="T16" s="14">
        <f>'SDR Cost Estimate (FY08)'!T16-'B2C Cost Est (FY08)'!T16</f>
        <v>0</v>
      </c>
      <c r="U16" s="14">
        <f t="shared" si="6"/>
        <v>0</v>
      </c>
      <c r="V16" s="16"/>
      <c r="W16" s="17"/>
      <c r="Y16" s="14">
        <f>'SDR Cost Estimate (FY08)'!Y16-'B2C Cost Est (FY08)'!Y16</f>
        <v>0</v>
      </c>
      <c r="Z16" s="15">
        <f>'SDR Cost Estimate (FY08)'!Z16-'B2C Cost Est (FY08)'!Z16</f>
        <v>0</v>
      </c>
      <c r="AA16" s="14">
        <f>'SDR Cost Estimate (FY08)'!AA16-'B2C Cost Est (FY08)'!AA16</f>
        <v>0</v>
      </c>
      <c r="AB16" s="14">
        <f>'SDR Cost Estimate (FY08)'!AB16-'B2C Cost Est (FY08)'!AB16</f>
        <v>0</v>
      </c>
      <c r="AC16" s="14">
        <f>'SDR Cost Estimate (FY08)'!AC16-'B2C Cost Est (FY08)'!AC16</f>
        <v>0</v>
      </c>
      <c r="AD16" s="14">
        <f>'SDR Cost Estimate (FY08)'!AD16-'B2C Cost Est (FY08)'!AD16</f>
        <v>0</v>
      </c>
      <c r="AE16" s="14">
        <f>'SDR Cost Estimate (FY08)'!AE16-'B2C Cost Est (FY08)'!AE16</f>
        <v>0</v>
      </c>
      <c r="AF16" s="14">
        <f t="shared" si="7"/>
        <v>0</v>
      </c>
      <c r="AG16" s="16"/>
      <c r="AH16" s="17"/>
      <c r="AJ16" s="14">
        <f>'SDR Cost Estimate (FY08)'!AJ16-'B2C Cost Est (FY08)'!AJ16</f>
        <v>0</v>
      </c>
      <c r="AK16" s="15">
        <f>'SDR Cost Estimate (FY08)'!AK16-'B2C Cost Est (FY08)'!AK16</f>
        <v>0</v>
      </c>
      <c r="AL16" s="14">
        <f>'SDR Cost Estimate (FY08)'!AL16-'B2C Cost Est (FY08)'!AL16</f>
        <v>0</v>
      </c>
      <c r="AM16" s="14">
        <f>'SDR Cost Estimate (FY08)'!AM16-'B2C Cost Est (FY08)'!AM16</f>
        <v>0</v>
      </c>
      <c r="AN16" s="14">
        <f>'SDR Cost Estimate (FY08)'!AN16-'B2C Cost Est (FY08)'!AN16</f>
        <v>0</v>
      </c>
      <c r="AO16" s="14">
        <f>'SDR Cost Estimate (FY08)'!AO16-'B2C Cost Est (FY08)'!AO16</f>
        <v>0</v>
      </c>
      <c r="AP16" s="14">
        <f>'SDR Cost Estimate (FY08)'!AP16-'B2C Cost Est (FY08)'!AP16</f>
        <v>0</v>
      </c>
      <c r="AQ16" s="14">
        <f t="shared" si="8"/>
        <v>0</v>
      </c>
      <c r="AR16" s="16"/>
      <c r="AS16" s="17"/>
      <c r="AU16" s="14">
        <f>'SDR Cost Estimate (FY08)'!AU16-'B2C Cost Est (FY08)'!AU16</f>
        <v>0</v>
      </c>
      <c r="AV16" s="15">
        <f>'SDR Cost Estimate (FY08)'!AV16-'B2C Cost Est (FY08)'!AV16</f>
        <v>0</v>
      </c>
      <c r="AW16" s="14">
        <f>'SDR Cost Estimate (FY08)'!AW16-'B2C Cost Est (FY08)'!AW16</f>
        <v>0</v>
      </c>
      <c r="AX16" s="14">
        <f>'SDR Cost Estimate (FY08)'!AX16-'B2C Cost Est (FY08)'!AX16</f>
        <v>0</v>
      </c>
      <c r="AY16" s="14">
        <f>'SDR Cost Estimate (FY08)'!AY16-'B2C Cost Est (FY08)'!AY16</f>
        <v>0</v>
      </c>
      <c r="AZ16" s="14">
        <f>'SDR Cost Estimate (FY08)'!AZ16-'B2C Cost Est (FY08)'!AZ16</f>
        <v>0</v>
      </c>
      <c r="BA16" s="14">
        <f>'SDR Cost Estimate (FY08)'!BA16-'B2C Cost Est (FY08)'!BA16</f>
        <v>0</v>
      </c>
      <c r="BB16" s="14">
        <f t="shared" si="9"/>
        <v>0</v>
      </c>
      <c r="BC16" s="16"/>
      <c r="BD16" s="17"/>
    </row>
    <row r="17" spans="1:56" ht="12.75" hidden="1">
      <c r="A17" s="23" t="s">
        <v>864</v>
      </c>
      <c r="B17" s="13" t="s">
        <v>865</v>
      </c>
      <c r="C17" s="14">
        <f>'SDR Cost Estimate (FY08)'!C17-'B2C Cost Est (FY08)'!C17</f>
        <v>0</v>
      </c>
      <c r="D17" s="15">
        <f>'SDR Cost Estimate (FY08)'!D17-'B2C Cost Est (FY08)'!D17</f>
        <v>0</v>
      </c>
      <c r="E17" s="14">
        <f>'SDR Cost Estimate (FY08)'!E17-'B2C Cost Est (FY08)'!E17</f>
        <v>0</v>
      </c>
      <c r="F17" s="14">
        <f>'SDR Cost Estimate (FY08)'!F17-'B2C Cost Est (FY08)'!F17</f>
        <v>0</v>
      </c>
      <c r="G17" s="14">
        <f>'SDR Cost Estimate (FY08)'!G17-'B2C Cost Est (FY08)'!G17</f>
        <v>0</v>
      </c>
      <c r="H17" s="14">
        <f>'SDR Cost Estimate (FY08)'!H17-'B2C Cost Est (FY08)'!H17</f>
        <v>0</v>
      </c>
      <c r="I17" s="14">
        <f>'SDR Cost Estimate (FY08)'!I17-'B2C Cost Est (FY08)'!I17</f>
        <v>0</v>
      </c>
      <c r="J17" s="14">
        <f t="shared" si="5"/>
        <v>0</v>
      </c>
      <c r="K17" s="16"/>
      <c r="L17" s="17"/>
      <c r="N17" s="14">
        <f>'SDR Cost Estimate (FY08)'!N17-'B2C Cost Est (FY08)'!N17</f>
        <v>0</v>
      </c>
      <c r="O17" s="15">
        <f>'SDR Cost Estimate (FY08)'!O17-'B2C Cost Est (FY08)'!O17</f>
        <v>0</v>
      </c>
      <c r="P17" s="14">
        <f>'SDR Cost Estimate (FY08)'!P17-'B2C Cost Est (FY08)'!P17</f>
        <v>0</v>
      </c>
      <c r="Q17" s="14">
        <f>'SDR Cost Estimate (FY08)'!Q17-'B2C Cost Est (FY08)'!Q17</f>
        <v>0</v>
      </c>
      <c r="R17" s="14">
        <f>'SDR Cost Estimate (FY08)'!R17-'B2C Cost Est (FY08)'!R17</f>
        <v>0</v>
      </c>
      <c r="S17" s="14">
        <f>'SDR Cost Estimate (FY08)'!S17-'B2C Cost Est (FY08)'!S17</f>
        <v>0</v>
      </c>
      <c r="T17" s="14">
        <f>'SDR Cost Estimate (FY08)'!T17-'B2C Cost Est (FY08)'!T17</f>
        <v>0</v>
      </c>
      <c r="U17" s="14">
        <f t="shared" si="6"/>
        <v>0</v>
      </c>
      <c r="V17" s="16"/>
      <c r="W17" s="17"/>
      <c r="Y17" s="14">
        <f>'SDR Cost Estimate (FY08)'!Y17-'B2C Cost Est (FY08)'!Y17</f>
        <v>0</v>
      </c>
      <c r="Z17" s="15">
        <f>'SDR Cost Estimate (FY08)'!Z17-'B2C Cost Est (FY08)'!Z17</f>
        <v>0</v>
      </c>
      <c r="AA17" s="14">
        <f>'SDR Cost Estimate (FY08)'!AA17-'B2C Cost Est (FY08)'!AA17</f>
        <v>0</v>
      </c>
      <c r="AB17" s="14">
        <f>'SDR Cost Estimate (FY08)'!AB17-'B2C Cost Est (FY08)'!AB17</f>
        <v>0</v>
      </c>
      <c r="AC17" s="14">
        <f>'SDR Cost Estimate (FY08)'!AC17-'B2C Cost Est (FY08)'!AC17</f>
        <v>0</v>
      </c>
      <c r="AD17" s="14">
        <f>'SDR Cost Estimate (FY08)'!AD17-'B2C Cost Est (FY08)'!AD17</f>
        <v>0</v>
      </c>
      <c r="AE17" s="14">
        <f>'SDR Cost Estimate (FY08)'!AE17-'B2C Cost Est (FY08)'!AE17</f>
        <v>0</v>
      </c>
      <c r="AF17" s="14">
        <f t="shared" si="7"/>
        <v>0</v>
      </c>
      <c r="AG17" s="16"/>
      <c r="AH17" s="17"/>
      <c r="AJ17" s="14">
        <f>'SDR Cost Estimate (FY08)'!AJ17-'B2C Cost Est (FY08)'!AJ17</f>
        <v>0</v>
      </c>
      <c r="AK17" s="15">
        <f>'SDR Cost Estimate (FY08)'!AK17-'B2C Cost Est (FY08)'!AK17</f>
        <v>0</v>
      </c>
      <c r="AL17" s="14">
        <f>'SDR Cost Estimate (FY08)'!AL17-'B2C Cost Est (FY08)'!AL17</f>
        <v>0</v>
      </c>
      <c r="AM17" s="14">
        <f>'SDR Cost Estimate (FY08)'!AM17-'B2C Cost Est (FY08)'!AM17</f>
        <v>0</v>
      </c>
      <c r="AN17" s="14">
        <f>'SDR Cost Estimate (FY08)'!AN17-'B2C Cost Est (FY08)'!AN17</f>
        <v>0</v>
      </c>
      <c r="AO17" s="14">
        <f>'SDR Cost Estimate (FY08)'!AO17-'B2C Cost Est (FY08)'!AO17</f>
        <v>0</v>
      </c>
      <c r="AP17" s="14">
        <f>'SDR Cost Estimate (FY08)'!AP17-'B2C Cost Est (FY08)'!AP17</f>
        <v>0</v>
      </c>
      <c r="AQ17" s="14">
        <f t="shared" si="8"/>
        <v>0</v>
      </c>
      <c r="AR17" s="16"/>
      <c r="AS17" s="17"/>
      <c r="AU17" s="14">
        <f>'SDR Cost Estimate (FY08)'!AU17-'B2C Cost Est (FY08)'!AU17</f>
        <v>0</v>
      </c>
      <c r="AV17" s="15">
        <f>'SDR Cost Estimate (FY08)'!AV17-'B2C Cost Est (FY08)'!AV17</f>
        <v>0</v>
      </c>
      <c r="AW17" s="14">
        <f>'SDR Cost Estimate (FY08)'!AW17-'B2C Cost Est (FY08)'!AW17</f>
        <v>0</v>
      </c>
      <c r="AX17" s="14">
        <f>'SDR Cost Estimate (FY08)'!AX17-'B2C Cost Est (FY08)'!AX17</f>
        <v>0</v>
      </c>
      <c r="AY17" s="14">
        <f>'SDR Cost Estimate (FY08)'!AY17-'B2C Cost Est (FY08)'!AY17</f>
        <v>0</v>
      </c>
      <c r="AZ17" s="14">
        <f>'SDR Cost Estimate (FY08)'!AZ17-'B2C Cost Est (FY08)'!AZ17</f>
        <v>0</v>
      </c>
      <c r="BA17" s="14">
        <f>'SDR Cost Estimate (FY08)'!BA17-'B2C Cost Est (FY08)'!BA17</f>
        <v>0</v>
      </c>
      <c r="BB17" s="14">
        <f t="shared" si="9"/>
        <v>0</v>
      </c>
      <c r="BC17" s="16"/>
      <c r="BD17" s="17"/>
    </row>
    <row r="18" spans="1:56" ht="12.75" hidden="1">
      <c r="A18" s="23" t="s">
        <v>866</v>
      </c>
      <c r="B18" s="13" t="s">
        <v>867</v>
      </c>
      <c r="C18" s="14">
        <f>'SDR Cost Estimate (FY08)'!C18-'B2C Cost Est (FY08)'!C18</f>
        <v>0</v>
      </c>
      <c r="D18" s="15">
        <f>'SDR Cost Estimate (FY08)'!D18-'B2C Cost Est (FY08)'!D18</f>
        <v>0</v>
      </c>
      <c r="E18" s="14">
        <f>'SDR Cost Estimate (FY08)'!E18-'B2C Cost Est (FY08)'!E18</f>
        <v>0</v>
      </c>
      <c r="F18" s="14">
        <f>'SDR Cost Estimate (FY08)'!F18-'B2C Cost Est (FY08)'!F18</f>
        <v>0</v>
      </c>
      <c r="G18" s="14">
        <f>'SDR Cost Estimate (FY08)'!G18-'B2C Cost Est (FY08)'!G18</f>
        <v>0</v>
      </c>
      <c r="H18" s="14">
        <f>'SDR Cost Estimate (FY08)'!H18-'B2C Cost Est (FY08)'!H18</f>
        <v>0</v>
      </c>
      <c r="I18" s="14">
        <f>'SDR Cost Estimate (FY08)'!I18-'B2C Cost Est (FY08)'!I18</f>
        <v>0</v>
      </c>
      <c r="J18" s="14">
        <f t="shared" si="5"/>
        <v>0</v>
      </c>
      <c r="K18" s="16"/>
      <c r="L18" s="17"/>
      <c r="N18" s="14">
        <f>'SDR Cost Estimate (FY08)'!N18-'B2C Cost Est (FY08)'!N18</f>
        <v>0</v>
      </c>
      <c r="O18" s="15">
        <f>'SDR Cost Estimate (FY08)'!O18-'B2C Cost Est (FY08)'!O18</f>
        <v>0</v>
      </c>
      <c r="P18" s="14">
        <f>'SDR Cost Estimate (FY08)'!P18-'B2C Cost Est (FY08)'!P18</f>
        <v>0</v>
      </c>
      <c r="Q18" s="14">
        <f>'SDR Cost Estimate (FY08)'!Q18-'B2C Cost Est (FY08)'!Q18</f>
        <v>0</v>
      </c>
      <c r="R18" s="14">
        <f>'SDR Cost Estimate (FY08)'!R18-'B2C Cost Est (FY08)'!R18</f>
        <v>0</v>
      </c>
      <c r="S18" s="14">
        <f>'SDR Cost Estimate (FY08)'!S18-'B2C Cost Est (FY08)'!S18</f>
        <v>0</v>
      </c>
      <c r="T18" s="14">
        <f>'SDR Cost Estimate (FY08)'!T18-'B2C Cost Est (FY08)'!T18</f>
        <v>0</v>
      </c>
      <c r="U18" s="14">
        <f t="shared" si="6"/>
        <v>0</v>
      </c>
      <c r="V18" s="16"/>
      <c r="W18" s="17"/>
      <c r="Y18" s="14">
        <f>'SDR Cost Estimate (FY08)'!Y18-'B2C Cost Est (FY08)'!Y18</f>
        <v>0</v>
      </c>
      <c r="Z18" s="15">
        <f>'SDR Cost Estimate (FY08)'!Z18-'B2C Cost Est (FY08)'!Z18</f>
        <v>0</v>
      </c>
      <c r="AA18" s="14">
        <f>'SDR Cost Estimate (FY08)'!AA18-'B2C Cost Est (FY08)'!AA18</f>
        <v>0</v>
      </c>
      <c r="AB18" s="14">
        <f>'SDR Cost Estimate (FY08)'!AB18-'B2C Cost Est (FY08)'!AB18</f>
        <v>0</v>
      </c>
      <c r="AC18" s="14">
        <f>'SDR Cost Estimate (FY08)'!AC18-'B2C Cost Est (FY08)'!AC18</f>
        <v>0</v>
      </c>
      <c r="AD18" s="14">
        <f>'SDR Cost Estimate (FY08)'!AD18-'B2C Cost Est (FY08)'!AD18</f>
        <v>0</v>
      </c>
      <c r="AE18" s="14">
        <f>'SDR Cost Estimate (FY08)'!AE18-'B2C Cost Est (FY08)'!AE18</f>
        <v>0</v>
      </c>
      <c r="AF18" s="14">
        <f t="shared" si="7"/>
        <v>0</v>
      </c>
      <c r="AG18" s="16"/>
      <c r="AH18" s="17"/>
      <c r="AJ18" s="14">
        <f>'SDR Cost Estimate (FY08)'!AJ18-'B2C Cost Est (FY08)'!AJ18</f>
        <v>0</v>
      </c>
      <c r="AK18" s="15">
        <f>'SDR Cost Estimate (FY08)'!AK18-'B2C Cost Est (FY08)'!AK18</f>
        <v>0</v>
      </c>
      <c r="AL18" s="14">
        <f>'SDR Cost Estimate (FY08)'!AL18-'B2C Cost Est (FY08)'!AL18</f>
        <v>0</v>
      </c>
      <c r="AM18" s="14">
        <f>'SDR Cost Estimate (FY08)'!AM18-'B2C Cost Est (FY08)'!AM18</f>
        <v>0</v>
      </c>
      <c r="AN18" s="14">
        <f>'SDR Cost Estimate (FY08)'!AN18-'B2C Cost Est (FY08)'!AN18</f>
        <v>0</v>
      </c>
      <c r="AO18" s="14">
        <f>'SDR Cost Estimate (FY08)'!AO18-'B2C Cost Est (FY08)'!AO18</f>
        <v>0</v>
      </c>
      <c r="AP18" s="14">
        <f>'SDR Cost Estimate (FY08)'!AP18-'B2C Cost Est (FY08)'!AP18</f>
        <v>0</v>
      </c>
      <c r="AQ18" s="14">
        <f t="shared" si="8"/>
        <v>0</v>
      </c>
      <c r="AR18" s="16"/>
      <c r="AS18" s="17"/>
      <c r="AU18" s="14">
        <f>'SDR Cost Estimate (FY08)'!AU18-'B2C Cost Est (FY08)'!AU18</f>
        <v>0</v>
      </c>
      <c r="AV18" s="15">
        <f>'SDR Cost Estimate (FY08)'!AV18-'B2C Cost Est (FY08)'!AV18</f>
        <v>0</v>
      </c>
      <c r="AW18" s="14">
        <f>'SDR Cost Estimate (FY08)'!AW18-'B2C Cost Est (FY08)'!AW18</f>
        <v>0</v>
      </c>
      <c r="AX18" s="14">
        <f>'SDR Cost Estimate (FY08)'!AX18-'B2C Cost Est (FY08)'!AX18</f>
        <v>0</v>
      </c>
      <c r="AY18" s="14">
        <f>'SDR Cost Estimate (FY08)'!AY18-'B2C Cost Est (FY08)'!AY18</f>
        <v>0</v>
      </c>
      <c r="AZ18" s="14">
        <f>'SDR Cost Estimate (FY08)'!AZ18-'B2C Cost Est (FY08)'!AZ18</f>
        <v>0</v>
      </c>
      <c r="BA18" s="14">
        <f>'SDR Cost Estimate (FY08)'!BA18-'B2C Cost Est (FY08)'!BA18</f>
        <v>0</v>
      </c>
      <c r="BB18" s="14">
        <f t="shared" si="9"/>
        <v>0</v>
      </c>
      <c r="BC18" s="16"/>
      <c r="BD18" s="17"/>
    </row>
    <row r="19" spans="1:56" ht="12.75" hidden="1">
      <c r="A19" s="23" t="s">
        <v>868</v>
      </c>
      <c r="B19" s="13" t="s">
        <v>869</v>
      </c>
      <c r="C19" s="14">
        <f>'SDR Cost Estimate (FY08)'!C19-'B2C Cost Est (FY08)'!C19</f>
        <v>0</v>
      </c>
      <c r="D19" s="15">
        <f>'SDR Cost Estimate (FY08)'!D19-'B2C Cost Est (FY08)'!D19</f>
        <v>0</v>
      </c>
      <c r="E19" s="14">
        <f>'SDR Cost Estimate (FY08)'!E19-'B2C Cost Est (FY08)'!E19</f>
        <v>0</v>
      </c>
      <c r="F19" s="14">
        <f>'SDR Cost Estimate (FY08)'!F19-'B2C Cost Est (FY08)'!F19</f>
        <v>0</v>
      </c>
      <c r="G19" s="14">
        <f>'SDR Cost Estimate (FY08)'!G19-'B2C Cost Est (FY08)'!G19</f>
        <v>0</v>
      </c>
      <c r="H19" s="14">
        <f>'SDR Cost Estimate (FY08)'!H19-'B2C Cost Est (FY08)'!H19</f>
        <v>0</v>
      </c>
      <c r="I19" s="14">
        <f>'SDR Cost Estimate (FY08)'!I19-'B2C Cost Est (FY08)'!I19</f>
        <v>0</v>
      </c>
      <c r="J19" s="14">
        <f t="shared" si="5"/>
        <v>0</v>
      </c>
      <c r="K19" s="16"/>
      <c r="L19" s="17"/>
      <c r="N19" s="14">
        <f>'SDR Cost Estimate (FY08)'!N19-'B2C Cost Est (FY08)'!N19</f>
        <v>0</v>
      </c>
      <c r="O19" s="15">
        <f>'SDR Cost Estimate (FY08)'!O19-'B2C Cost Est (FY08)'!O19</f>
        <v>0</v>
      </c>
      <c r="P19" s="14">
        <f>'SDR Cost Estimate (FY08)'!P19-'B2C Cost Est (FY08)'!P19</f>
        <v>0</v>
      </c>
      <c r="Q19" s="14">
        <f>'SDR Cost Estimate (FY08)'!Q19-'B2C Cost Est (FY08)'!Q19</f>
        <v>0</v>
      </c>
      <c r="R19" s="14">
        <f>'SDR Cost Estimate (FY08)'!R19-'B2C Cost Est (FY08)'!R19</f>
        <v>0</v>
      </c>
      <c r="S19" s="14">
        <f>'SDR Cost Estimate (FY08)'!S19-'B2C Cost Est (FY08)'!S19</f>
        <v>0</v>
      </c>
      <c r="T19" s="14">
        <f>'SDR Cost Estimate (FY08)'!T19-'B2C Cost Est (FY08)'!T19</f>
        <v>0</v>
      </c>
      <c r="U19" s="14">
        <f t="shared" si="6"/>
        <v>0</v>
      </c>
      <c r="V19" s="16"/>
      <c r="W19" s="17"/>
      <c r="Y19" s="14">
        <f>'SDR Cost Estimate (FY08)'!Y19-'B2C Cost Est (FY08)'!Y19</f>
        <v>0</v>
      </c>
      <c r="Z19" s="15">
        <f>'SDR Cost Estimate (FY08)'!Z19-'B2C Cost Est (FY08)'!Z19</f>
        <v>0</v>
      </c>
      <c r="AA19" s="14">
        <f>'SDR Cost Estimate (FY08)'!AA19-'B2C Cost Est (FY08)'!AA19</f>
        <v>0</v>
      </c>
      <c r="AB19" s="14">
        <f>'SDR Cost Estimate (FY08)'!AB19-'B2C Cost Est (FY08)'!AB19</f>
        <v>0</v>
      </c>
      <c r="AC19" s="14">
        <f>'SDR Cost Estimate (FY08)'!AC19-'B2C Cost Est (FY08)'!AC19</f>
        <v>0</v>
      </c>
      <c r="AD19" s="14">
        <f>'SDR Cost Estimate (FY08)'!AD19-'B2C Cost Est (FY08)'!AD19</f>
        <v>0</v>
      </c>
      <c r="AE19" s="14">
        <f>'SDR Cost Estimate (FY08)'!AE19-'B2C Cost Est (FY08)'!AE19</f>
        <v>0</v>
      </c>
      <c r="AF19" s="14">
        <f t="shared" si="7"/>
        <v>0</v>
      </c>
      <c r="AG19" s="16"/>
      <c r="AH19" s="17"/>
      <c r="AJ19" s="14">
        <f>'SDR Cost Estimate (FY08)'!AJ19-'B2C Cost Est (FY08)'!AJ19</f>
        <v>0</v>
      </c>
      <c r="AK19" s="15">
        <f>'SDR Cost Estimate (FY08)'!AK19-'B2C Cost Est (FY08)'!AK19</f>
        <v>0</v>
      </c>
      <c r="AL19" s="14">
        <f>'SDR Cost Estimate (FY08)'!AL19-'B2C Cost Est (FY08)'!AL19</f>
        <v>0</v>
      </c>
      <c r="AM19" s="14">
        <f>'SDR Cost Estimate (FY08)'!AM19-'B2C Cost Est (FY08)'!AM19</f>
        <v>0</v>
      </c>
      <c r="AN19" s="14">
        <f>'SDR Cost Estimate (FY08)'!AN19-'B2C Cost Est (FY08)'!AN19</f>
        <v>0</v>
      </c>
      <c r="AO19" s="14">
        <f>'SDR Cost Estimate (FY08)'!AO19-'B2C Cost Est (FY08)'!AO19</f>
        <v>0</v>
      </c>
      <c r="AP19" s="14">
        <f>'SDR Cost Estimate (FY08)'!AP19-'B2C Cost Est (FY08)'!AP19</f>
        <v>0</v>
      </c>
      <c r="AQ19" s="14">
        <f t="shared" si="8"/>
        <v>0</v>
      </c>
      <c r="AR19" s="16"/>
      <c r="AS19" s="17"/>
      <c r="AU19" s="14">
        <f>'SDR Cost Estimate (FY08)'!AU19-'B2C Cost Est (FY08)'!AU19</f>
        <v>0</v>
      </c>
      <c r="AV19" s="15">
        <f>'SDR Cost Estimate (FY08)'!AV19-'B2C Cost Est (FY08)'!AV19</f>
        <v>0</v>
      </c>
      <c r="AW19" s="14">
        <f>'SDR Cost Estimate (FY08)'!AW19-'B2C Cost Est (FY08)'!AW19</f>
        <v>0</v>
      </c>
      <c r="AX19" s="14">
        <f>'SDR Cost Estimate (FY08)'!AX19-'B2C Cost Est (FY08)'!AX19</f>
        <v>0</v>
      </c>
      <c r="AY19" s="14">
        <f>'SDR Cost Estimate (FY08)'!AY19-'B2C Cost Est (FY08)'!AY19</f>
        <v>0</v>
      </c>
      <c r="AZ19" s="14">
        <f>'SDR Cost Estimate (FY08)'!AZ19-'B2C Cost Est (FY08)'!AZ19</f>
        <v>0</v>
      </c>
      <c r="BA19" s="14">
        <f>'SDR Cost Estimate (FY08)'!BA19-'B2C Cost Est (FY08)'!BA19</f>
        <v>0</v>
      </c>
      <c r="BB19" s="14">
        <f t="shared" si="9"/>
        <v>0</v>
      </c>
      <c r="BC19" s="16"/>
      <c r="BD19" s="17"/>
    </row>
    <row r="20" spans="1:56" ht="12.75" hidden="1">
      <c r="A20" s="13">
        <v>3.2</v>
      </c>
      <c r="B20" s="13" t="s">
        <v>870</v>
      </c>
      <c r="C20" s="14">
        <f>'SDR Cost Estimate (FY08)'!C20-'B2C Cost Est (FY08)'!C20</f>
        <v>0</v>
      </c>
      <c r="D20" s="15">
        <f>'SDR Cost Estimate (FY08)'!D20-'B2C Cost Est (FY08)'!D20</f>
        <v>0</v>
      </c>
      <c r="E20" s="14">
        <f>'SDR Cost Estimate (FY08)'!E20-'B2C Cost Est (FY08)'!E20</f>
        <v>0</v>
      </c>
      <c r="F20" s="14">
        <f>'SDR Cost Estimate (FY08)'!F20-'B2C Cost Est (FY08)'!F20</f>
        <v>0</v>
      </c>
      <c r="G20" s="14">
        <f>'SDR Cost Estimate (FY08)'!G20-'B2C Cost Est (FY08)'!G20</f>
        <v>0</v>
      </c>
      <c r="H20" s="14">
        <f>'SDR Cost Estimate (FY08)'!H20-'B2C Cost Est (FY08)'!H20</f>
        <v>0</v>
      </c>
      <c r="I20" s="14">
        <f>'SDR Cost Estimate (FY08)'!I20-'B2C Cost Est (FY08)'!I20</f>
        <v>0</v>
      </c>
      <c r="J20" s="14">
        <f t="shared" si="5"/>
        <v>0</v>
      </c>
      <c r="K20" s="16"/>
      <c r="L20" s="17"/>
      <c r="N20" s="14">
        <f>'SDR Cost Estimate (FY08)'!N20-'B2C Cost Est (FY08)'!N20</f>
        <v>0</v>
      </c>
      <c r="O20" s="15">
        <f>'SDR Cost Estimate (FY08)'!O20-'B2C Cost Est (FY08)'!O20</f>
        <v>0</v>
      </c>
      <c r="P20" s="14">
        <f>'SDR Cost Estimate (FY08)'!P20-'B2C Cost Est (FY08)'!P20</f>
        <v>0</v>
      </c>
      <c r="Q20" s="14">
        <f>'SDR Cost Estimate (FY08)'!Q20-'B2C Cost Est (FY08)'!Q20</f>
        <v>0</v>
      </c>
      <c r="R20" s="14">
        <f>'SDR Cost Estimate (FY08)'!R20-'B2C Cost Est (FY08)'!R20</f>
        <v>0</v>
      </c>
      <c r="S20" s="14">
        <f>'SDR Cost Estimate (FY08)'!S20-'B2C Cost Est (FY08)'!S20</f>
        <v>0</v>
      </c>
      <c r="T20" s="14">
        <f>'SDR Cost Estimate (FY08)'!T20-'B2C Cost Est (FY08)'!T20</f>
        <v>0</v>
      </c>
      <c r="U20" s="14">
        <f t="shared" si="6"/>
        <v>0</v>
      </c>
      <c r="V20" s="16"/>
      <c r="W20" s="17"/>
      <c r="Y20" s="14">
        <f>'SDR Cost Estimate (FY08)'!Y20-'B2C Cost Est (FY08)'!Y20</f>
        <v>0</v>
      </c>
      <c r="Z20" s="15">
        <f>'SDR Cost Estimate (FY08)'!Z20-'B2C Cost Est (FY08)'!Z20</f>
        <v>0</v>
      </c>
      <c r="AA20" s="14">
        <f>'SDR Cost Estimate (FY08)'!AA20-'B2C Cost Est (FY08)'!AA20</f>
        <v>0</v>
      </c>
      <c r="AB20" s="14">
        <f>'SDR Cost Estimate (FY08)'!AB20-'B2C Cost Est (FY08)'!AB20</f>
        <v>0</v>
      </c>
      <c r="AC20" s="14">
        <f>'SDR Cost Estimate (FY08)'!AC20-'B2C Cost Est (FY08)'!AC20</f>
        <v>0</v>
      </c>
      <c r="AD20" s="14">
        <f>'SDR Cost Estimate (FY08)'!AD20-'B2C Cost Est (FY08)'!AD20</f>
        <v>0</v>
      </c>
      <c r="AE20" s="14">
        <f>'SDR Cost Estimate (FY08)'!AE20-'B2C Cost Est (FY08)'!AE20</f>
        <v>0</v>
      </c>
      <c r="AF20" s="14">
        <f t="shared" si="7"/>
        <v>0</v>
      </c>
      <c r="AG20" s="16"/>
      <c r="AH20" s="17"/>
      <c r="AJ20" s="14">
        <f>'SDR Cost Estimate (FY08)'!AJ20-'B2C Cost Est (FY08)'!AJ20</f>
        <v>0</v>
      </c>
      <c r="AK20" s="15">
        <f>'SDR Cost Estimate (FY08)'!AK20-'B2C Cost Est (FY08)'!AK20</f>
        <v>0</v>
      </c>
      <c r="AL20" s="14">
        <f>'SDR Cost Estimate (FY08)'!AL20-'B2C Cost Est (FY08)'!AL20</f>
        <v>0</v>
      </c>
      <c r="AM20" s="14">
        <f>'SDR Cost Estimate (FY08)'!AM20-'B2C Cost Est (FY08)'!AM20</f>
        <v>0</v>
      </c>
      <c r="AN20" s="14">
        <f>'SDR Cost Estimate (FY08)'!AN20-'B2C Cost Est (FY08)'!AN20</f>
        <v>0</v>
      </c>
      <c r="AO20" s="14">
        <f>'SDR Cost Estimate (FY08)'!AO20-'B2C Cost Est (FY08)'!AO20</f>
        <v>0</v>
      </c>
      <c r="AP20" s="14">
        <f>'SDR Cost Estimate (FY08)'!AP20-'B2C Cost Est (FY08)'!AP20</f>
        <v>0</v>
      </c>
      <c r="AQ20" s="14">
        <f t="shared" si="8"/>
        <v>0</v>
      </c>
      <c r="AR20" s="16"/>
      <c r="AS20" s="17"/>
      <c r="AU20" s="14">
        <f>'SDR Cost Estimate (FY08)'!AU20-'B2C Cost Est (FY08)'!AU20</f>
        <v>0</v>
      </c>
      <c r="AV20" s="15">
        <f>'SDR Cost Estimate (FY08)'!AV20-'B2C Cost Est (FY08)'!AV20</f>
        <v>0</v>
      </c>
      <c r="AW20" s="14">
        <f>'SDR Cost Estimate (FY08)'!AW20-'B2C Cost Est (FY08)'!AW20</f>
        <v>0</v>
      </c>
      <c r="AX20" s="14">
        <f>'SDR Cost Estimate (FY08)'!AX20-'B2C Cost Est (FY08)'!AX20</f>
        <v>0</v>
      </c>
      <c r="AY20" s="14">
        <f>'SDR Cost Estimate (FY08)'!AY20-'B2C Cost Est (FY08)'!AY20</f>
        <v>0</v>
      </c>
      <c r="AZ20" s="14">
        <f>'SDR Cost Estimate (FY08)'!AZ20-'B2C Cost Est (FY08)'!AZ20</f>
        <v>0</v>
      </c>
      <c r="BA20" s="14">
        <f>'SDR Cost Estimate (FY08)'!BA20-'B2C Cost Est (FY08)'!BA20</f>
        <v>0</v>
      </c>
      <c r="BB20" s="14">
        <f t="shared" si="9"/>
        <v>0</v>
      </c>
      <c r="BC20" s="16"/>
      <c r="BD20" s="17"/>
    </row>
    <row r="21" spans="1:56" ht="12.75" hidden="1">
      <c r="A21" s="13">
        <v>3.3</v>
      </c>
      <c r="B21" s="13" t="s">
        <v>871</v>
      </c>
      <c r="C21" s="17"/>
      <c r="D21" s="17"/>
      <c r="E21" s="17"/>
      <c r="F21" s="17"/>
      <c r="G21" s="17"/>
      <c r="H21" s="17"/>
      <c r="I21" s="17"/>
      <c r="J21" s="17"/>
      <c r="K21" s="16"/>
      <c r="L21" s="17"/>
      <c r="N21" s="17"/>
      <c r="O21" s="17"/>
      <c r="P21" s="17"/>
      <c r="Q21" s="17"/>
      <c r="R21" s="17"/>
      <c r="S21" s="17"/>
      <c r="T21" s="17"/>
      <c r="U21" s="17"/>
      <c r="V21" s="16"/>
      <c r="W21" s="17"/>
      <c r="Y21" s="17"/>
      <c r="Z21" s="17"/>
      <c r="AA21" s="17"/>
      <c r="AB21" s="17"/>
      <c r="AC21" s="17"/>
      <c r="AD21" s="17"/>
      <c r="AE21" s="17"/>
      <c r="AF21" s="17"/>
      <c r="AG21" s="16"/>
      <c r="AH21" s="17"/>
      <c r="AJ21" s="17"/>
      <c r="AK21" s="17"/>
      <c r="AL21" s="17"/>
      <c r="AM21" s="17"/>
      <c r="AN21" s="17"/>
      <c r="AO21" s="17"/>
      <c r="AP21" s="17"/>
      <c r="AQ21" s="17"/>
      <c r="AR21" s="16"/>
      <c r="AS21" s="17"/>
      <c r="AU21" s="17"/>
      <c r="AV21" s="17"/>
      <c r="AW21" s="17"/>
      <c r="AX21" s="17"/>
      <c r="AY21" s="17"/>
      <c r="AZ21" s="17"/>
      <c r="BA21" s="17"/>
      <c r="BB21" s="17"/>
      <c r="BC21" s="16"/>
      <c r="BD21" s="17"/>
    </row>
    <row r="22" spans="1:56" ht="12.75" hidden="1">
      <c r="A22" s="23" t="s">
        <v>872</v>
      </c>
      <c r="B22" s="13" t="s">
        <v>873</v>
      </c>
      <c r="C22" s="14">
        <f>'SDR Cost Estimate (FY08)'!C22-'B2C Cost Est (FY08)'!C22</f>
        <v>0</v>
      </c>
      <c r="D22" s="15">
        <f>'SDR Cost Estimate (FY08)'!D22-'B2C Cost Est (FY08)'!D22</f>
        <v>0</v>
      </c>
      <c r="E22" s="14">
        <f>'SDR Cost Estimate (FY08)'!E22-'B2C Cost Est (FY08)'!E22</f>
        <v>0</v>
      </c>
      <c r="F22" s="14">
        <f>'SDR Cost Estimate (FY08)'!F22-'B2C Cost Est (FY08)'!F22</f>
        <v>0</v>
      </c>
      <c r="G22" s="14">
        <f>'SDR Cost Estimate (FY08)'!G22-'B2C Cost Est (FY08)'!G22</f>
        <v>0</v>
      </c>
      <c r="H22" s="14">
        <f>'SDR Cost Estimate (FY08)'!H22-'B2C Cost Est (FY08)'!H22</f>
        <v>0</v>
      </c>
      <c r="I22" s="14">
        <f>'SDR Cost Estimate (FY08)'!I22-'B2C Cost Est (FY08)'!I22</f>
        <v>0</v>
      </c>
      <c r="J22" s="14">
        <f>SUM(F22:I22)</f>
        <v>0</v>
      </c>
      <c r="K22" s="16"/>
      <c r="L22" s="17"/>
      <c r="N22" s="14">
        <f>'SDR Cost Estimate (FY08)'!N22-'B2C Cost Est (FY08)'!N22</f>
        <v>0</v>
      </c>
      <c r="O22" s="15">
        <f>'SDR Cost Estimate (FY08)'!O22-'B2C Cost Est (FY08)'!O22</f>
        <v>0</v>
      </c>
      <c r="P22" s="14">
        <f>'SDR Cost Estimate (FY08)'!P22-'B2C Cost Est (FY08)'!P22</f>
        <v>0</v>
      </c>
      <c r="Q22" s="14">
        <f>'SDR Cost Estimate (FY08)'!Q22-'B2C Cost Est (FY08)'!Q22</f>
        <v>0</v>
      </c>
      <c r="R22" s="14">
        <f>'SDR Cost Estimate (FY08)'!R22-'B2C Cost Est (FY08)'!R22</f>
        <v>0</v>
      </c>
      <c r="S22" s="14">
        <f>'SDR Cost Estimate (FY08)'!S22-'B2C Cost Est (FY08)'!S22</f>
        <v>0</v>
      </c>
      <c r="T22" s="14">
        <f>'SDR Cost Estimate (FY08)'!T22-'B2C Cost Est (FY08)'!T22</f>
        <v>0</v>
      </c>
      <c r="U22" s="14">
        <f>SUM(Q22:T22)</f>
        <v>0</v>
      </c>
      <c r="V22" s="16"/>
      <c r="W22" s="17"/>
      <c r="Y22" s="14">
        <f>'SDR Cost Estimate (FY08)'!Y22-'B2C Cost Est (FY08)'!Y22</f>
        <v>0</v>
      </c>
      <c r="Z22" s="15">
        <f>'SDR Cost Estimate (FY08)'!Z22-'B2C Cost Est (FY08)'!Z22</f>
        <v>0</v>
      </c>
      <c r="AA22" s="14">
        <f>'SDR Cost Estimate (FY08)'!AA22-'B2C Cost Est (FY08)'!AA22</f>
        <v>0</v>
      </c>
      <c r="AB22" s="14">
        <f>'SDR Cost Estimate (FY08)'!AB22-'B2C Cost Est (FY08)'!AB22</f>
        <v>0</v>
      </c>
      <c r="AC22" s="14">
        <f>'SDR Cost Estimate (FY08)'!AC22-'B2C Cost Est (FY08)'!AC22</f>
        <v>0</v>
      </c>
      <c r="AD22" s="14">
        <f>'SDR Cost Estimate (FY08)'!AD22-'B2C Cost Est (FY08)'!AD22</f>
        <v>0</v>
      </c>
      <c r="AE22" s="14">
        <f>'SDR Cost Estimate (FY08)'!AE22-'B2C Cost Est (FY08)'!AE22</f>
        <v>0</v>
      </c>
      <c r="AF22" s="14">
        <f>SUM(AB22:AE22)</f>
        <v>0</v>
      </c>
      <c r="AG22" s="16"/>
      <c r="AH22" s="17"/>
      <c r="AJ22" s="14">
        <f>'SDR Cost Estimate (FY08)'!AJ22-'B2C Cost Est (FY08)'!AJ22</f>
        <v>0</v>
      </c>
      <c r="AK22" s="15">
        <f>'SDR Cost Estimate (FY08)'!AK22-'B2C Cost Est (FY08)'!AK22</f>
        <v>0</v>
      </c>
      <c r="AL22" s="14">
        <f>'SDR Cost Estimate (FY08)'!AL22-'B2C Cost Est (FY08)'!AL22</f>
        <v>0</v>
      </c>
      <c r="AM22" s="14">
        <f>'SDR Cost Estimate (FY08)'!AM22-'B2C Cost Est (FY08)'!AM22</f>
        <v>0</v>
      </c>
      <c r="AN22" s="14">
        <f>'SDR Cost Estimate (FY08)'!AN22-'B2C Cost Est (FY08)'!AN22</f>
        <v>0</v>
      </c>
      <c r="AO22" s="14">
        <f>'SDR Cost Estimate (FY08)'!AO22-'B2C Cost Est (FY08)'!AO22</f>
        <v>0</v>
      </c>
      <c r="AP22" s="14">
        <f>'SDR Cost Estimate (FY08)'!AP22-'B2C Cost Est (FY08)'!AP22</f>
        <v>0</v>
      </c>
      <c r="AQ22" s="14">
        <f>SUM(AM22:AP22)</f>
        <v>0</v>
      </c>
      <c r="AR22" s="16"/>
      <c r="AS22" s="17"/>
      <c r="AU22" s="14">
        <f>'SDR Cost Estimate (FY08)'!AU22-'B2C Cost Est (FY08)'!AU22</f>
        <v>0</v>
      </c>
      <c r="AV22" s="15">
        <f>'SDR Cost Estimate (FY08)'!AV22-'B2C Cost Est (FY08)'!AV22</f>
        <v>0</v>
      </c>
      <c r="AW22" s="14">
        <f>'SDR Cost Estimate (FY08)'!AW22-'B2C Cost Est (FY08)'!AW22</f>
        <v>0</v>
      </c>
      <c r="AX22" s="14">
        <f>'SDR Cost Estimate (FY08)'!AX22-'B2C Cost Est (FY08)'!AX22</f>
        <v>0</v>
      </c>
      <c r="AY22" s="14">
        <f>'SDR Cost Estimate (FY08)'!AY22-'B2C Cost Est (FY08)'!AY22</f>
        <v>0</v>
      </c>
      <c r="AZ22" s="14">
        <f>'SDR Cost Estimate (FY08)'!AZ22-'B2C Cost Est (FY08)'!AZ22</f>
        <v>0</v>
      </c>
      <c r="BA22" s="14">
        <f>'SDR Cost Estimate (FY08)'!BA22-'B2C Cost Est (FY08)'!BA22</f>
        <v>0</v>
      </c>
      <c r="BB22" s="14">
        <f>SUM(AX22:BA22)</f>
        <v>0</v>
      </c>
      <c r="BC22" s="16"/>
      <c r="BD22" s="17"/>
    </row>
    <row r="23" spans="1:56" ht="12.75" hidden="1">
      <c r="A23" s="23" t="s">
        <v>874</v>
      </c>
      <c r="B23" s="13" t="s">
        <v>875</v>
      </c>
      <c r="C23" s="14">
        <f>'SDR Cost Estimate (FY08)'!C23-'B2C Cost Est (FY08)'!C23</f>
        <v>0</v>
      </c>
      <c r="D23" s="15">
        <f>'SDR Cost Estimate (FY08)'!D23-'B2C Cost Est (FY08)'!D23</f>
        <v>0</v>
      </c>
      <c r="E23" s="14">
        <f>'SDR Cost Estimate (FY08)'!E23-'B2C Cost Est (FY08)'!E23</f>
        <v>0</v>
      </c>
      <c r="F23" s="14">
        <f>'SDR Cost Estimate (FY08)'!F23-'B2C Cost Est (FY08)'!F23</f>
        <v>0</v>
      </c>
      <c r="G23" s="14">
        <f>'SDR Cost Estimate (FY08)'!G23-'B2C Cost Est (FY08)'!G23</f>
        <v>0</v>
      </c>
      <c r="H23" s="14">
        <f>'SDR Cost Estimate (FY08)'!H23-'B2C Cost Est (FY08)'!H23</f>
        <v>0</v>
      </c>
      <c r="I23" s="14">
        <f>'SDR Cost Estimate (FY08)'!I23-'B2C Cost Est (FY08)'!I23</f>
        <v>0</v>
      </c>
      <c r="J23" s="14">
        <f>SUM(F23:I23)</f>
        <v>0</v>
      </c>
      <c r="K23" s="16"/>
      <c r="L23" s="17"/>
      <c r="N23" s="14">
        <f>'SDR Cost Estimate (FY08)'!N23-'B2C Cost Est (FY08)'!N23</f>
        <v>0</v>
      </c>
      <c r="O23" s="15">
        <f>'SDR Cost Estimate (FY08)'!O23-'B2C Cost Est (FY08)'!O23</f>
        <v>0</v>
      </c>
      <c r="P23" s="14">
        <f>'SDR Cost Estimate (FY08)'!P23-'B2C Cost Est (FY08)'!P23</f>
        <v>0</v>
      </c>
      <c r="Q23" s="14">
        <f>'SDR Cost Estimate (FY08)'!Q23-'B2C Cost Est (FY08)'!Q23</f>
        <v>0</v>
      </c>
      <c r="R23" s="14">
        <f>'SDR Cost Estimate (FY08)'!R23-'B2C Cost Est (FY08)'!R23</f>
        <v>0</v>
      </c>
      <c r="S23" s="14">
        <f>'SDR Cost Estimate (FY08)'!S23-'B2C Cost Est (FY08)'!S23</f>
        <v>0</v>
      </c>
      <c r="T23" s="14">
        <f>'SDR Cost Estimate (FY08)'!T23-'B2C Cost Est (FY08)'!T23</f>
        <v>0</v>
      </c>
      <c r="U23" s="14">
        <f>SUM(Q23:T23)</f>
        <v>0</v>
      </c>
      <c r="V23" s="16"/>
      <c r="W23" s="17"/>
      <c r="Y23" s="14">
        <f>'SDR Cost Estimate (FY08)'!Y23-'B2C Cost Est (FY08)'!Y23</f>
        <v>0</v>
      </c>
      <c r="Z23" s="15">
        <f>'SDR Cost Estimate (FY08)'!Z23-'B2C Cost Est (FY08)'!Z23</f>
        <v>0</v>
      </c>
      <c r="AA23" s="14">
        <f>'SDR Cost Estimate (FY08)'!AA23-'B2C Cost Est (FY08)'!AA23</f>
        <v>0</v>
      </c>
      <c r="AB23" s="14">
        <f>'SDR Cost Estimate (FY08)'!AB23-'B2C Cost Est (FY08)'!AB23</f>
        <v>0</v>
      </c>
      <c r="AC23" s="14">
        <f>'SDR Cost Estimate (FY08)'!AC23-'B2C Cost Est (FY08)'!AC23</f>
        <v>0</v>
      </c>
      <c r="AD23" s="14">
        <f>'SDR Cost Estimate (FY08)'!AD23-'B2C Cost Est (FY08)'!AD23</f>
        <v>0</v>
      </c>
      <c r="AE23" s="14">
        <f>'SDR Cost Estimate (FY08)'!AE23-'B2C Cost Est (FY08)'!AE23</f>
        <v>0</v>
      </c>
      <c r="AF23" s="14">
        <f>SUM(AB23:AE23)</f>
        <v>0</v>
      </c>
      <c r="AG23" s="16"/>
      <c r="AH23" s="17"/>
      <c r="AJ23" s="14">
        <f>'SDR Cost Estimate (FY08)'!AJ23-'B2C Cost Est (FY08)'!AJ23</f>
        <v>0</v>
      </c>
      <c r="AK23" s="15">
        <f>'SDR Cost Estimate (FY08)'!AK23-'B2C Cost Est (FY08)'!AK23</f>
        <v>0</v>
      </c>
      <c r="AL23" s="14">
        <f>'SDR Cost Estimate (FY08)'!AL23-'B2C Cost Est (FY08)'!AL23</f>
        <v>0</v>
      </c>
      <c r="AM23" s="14">
        <f>'SDR Cost Estimate (FY08)'!AM23-'B2C Cost Est (FY08)'!AM23</f>
        <v>0</v>
      </c>
      <c r="AN23" s="14">
        <f>'SDR Cost Estimate (FY08)'!AN23-'B2C Cost Est (FY08)'!AN23</f>
        <v>0</v>
      </c>
      <c r="AO23" s="14">
        <f>'SDR Cost Estimate (FY08)'!AO23-'B2C Cost Est (FY08)'!AO23</f>
        <v>0</v>
      </c>
      <c r="AP23" s="14">
        <f>'SDR Cost Estimate (FY08)'!AP23-'B2C Cost Est (FY08)'!AP23</f>
        <v>0</v>
      </c>
      <c r="AQ23" s="14">
        <f>SUM(AM23:AP23)</f>
        <v>0</v>
      </c>
      <c r="AR23" s="16"/>
      <c r="AS23" s="17"/>
      <c r="AU23" s="14">
        <f>'SDR Cost Estimate (FY08)'!AU23-'B2C Cost Est (FY08)'!AU23</f>
        <v>0</v>
      </c>
      <c r="AV23" s="15">
        <f>'SDR Cost Estimate (FY08)'!AV23-'B2C Cost Est (FY08)'!AV23</f>
        <v>0</v>
      </c>
      <c r="AW23" s="14">
        <f>'SDR Cost Estimate (FY08)'!AW23-'B2C Cost Est (FY08)'!AW23</f>
        <v>0</v>
      </c>
      <c r="AX23" s="14">
        <f>'SDR Cost Estimate (FY08)'!AX23-'B2C Cost Est (FY08)'!AX23</f>
        <v>0</v>
      </c>
      <c r="AY23" s="14">
        <f>'SDR Cost Estimate (FY08)'!AY23-'B2C Cost Est (FY08)'!AY23</f>
        <v>0</v>
      </c>
      <c r="AZ23" s="14">
        <f>'SDR Cost Estimate (FY08)'!AZ23-'B2C Cost Est (FY08)'!AZ23</f>
        <v>0</v>
      </c>
      <c r="BA23" s="14">
        <f>'SDR Cost Estimate (FY08)'!BA23-'B2C Cost Est (FY08)'!BA23</f>
        <v>0</v>
      </c>
      <c r="BB23" s="14">
        <f>SUM(AX23:BA23)</f>
        <v>0</v>
      </c>
      <c r="BC23" s="16"/>
      <c r="BD23" s="17"/>
    </row>
    <row r="24" spans="1:56" ht="12.75" hidden="1">
      <c r="A24" s="23" t="s">
        <v>876</v>
      </c>
      <c r="B24" s="13" t="s">
        <v>877</v>
      </c>
      <c r="C24" s="14">
        <f>'SDR Cost Estimate (FY08)'!C24-'B2C Cost Est (FY08)'!C24</f>
        <v>0</v>
      </c>
      <c r="D24" s="15">
        <f>'SDR Cost Estimate (FY08)'!D24-'B2C Cost Est (FY08)'!D24</f>
        <v>0</v>
      </c>
      <c r="E24" s="14">
        <f>'SDR Cost Estimate (FY08)'!E24-'B2C Cost Est (FY08)'!E24</f>
        <v>0</v>
      </c>
      <c r="F24" s="14">
        <f>'SDR Cost Estimate (FY08)'!F24-'B2C Cost Est (FY08)'!F24</f>
        <v>0</v>
      </c>
      <c r="G24" s="14">
        <f>'SDR Cost Estimate (FY08)'!G24-'B2C Cost Est (FY08)'!G24</f>
        <v>0</v>
      </c>
      <c r="H24" s="14">
        <f>'SDR Cost Estimate (FY08)'!H24-'B2C Cost Est (FY08)'!H24</f>
        <v>0</v>
      </c>
      <c r="I24" s="14">
        <f>'SDR Cost Estimate (FY08)'!I24-'B2C Cost Est (FY08)'!I24</f>
        <v>0</v>
      </c>
      <c r="J24" s="14">
        <f>SUM(F24:I24)</f>
        <v>0</v>
      </c>
      <c r="K24" s="16"/>
      <c r="L24" s="17"/>
      <c r="N24" s="14">
        <f>'SDR Cost Estimate (FY08)'!N24-'B2C Cost Est (FY08)'!N24</f>
        <v>0</v>
      </c>
      <c r="O24" s="15">
        <f>'SDR Cost Estimate (FY08)'!O24-'B2C Cost Est (FY08)'!O24</f>
        <v>0</v>
      </c>
      <c r="P24" s="14">
        <f>'SDR Cost Estimate (FY08)'!P24-'B2C Cost Est (FY08)'!P24</f>
        <v>0</v>
      </c>
      <c r="Q24" s="14">
        <f>'SDR Cost Estimate (FY08)'!Q24-'B2C Cost Est (FY08)'!Q24</f>
        <v>0</v>
      </c>
      <c r="R24" s="14">
        <f>'SDR Cost Estimate (FY08)'!R24-'B2C Cost Est (FY08)'!R24</f>
        <v>0</v>
      </c>
      <c r="S24" s="14">
        <f>'SDR Cost Estimate (FY08)'!S24-'B2C Cost Est (FY08)'!S24</f>
        <v>0</v>
      </c>
      <c r="T24" s="14">
        <f>'SDR Cost Estimate (FY08)'!T24-'B2C Cost Est (FY08)'!T24</f>
        <v>0</v>
      </c>
      <c r="U24" s="14">
        <f>SUM(Q24:T24)</f>
        <v>0</v>
      </c>
      <c r="V24" s="16"/>
      <c r="W24" s="17"/>
      <c r="Y24" s="14">
        <f>'SDR Cost Estimate (FY08)'!Y24-'B2C Cost Est (FY08)'!Y24</f>
        <v>0</v>
      </c>
      <c r="Z24" s="15">
        <f>'SDR Cost Estimate (FY08)'!Z24-'B2C Cost Est (FY08)'!Z24</f>
        <v>0</v>
      </c>
      <c r="AA24" s="14">
        <f>'SDR Cost Estimate (FY08)'!AA24-'B2C Cost Est (FY08)'!AA24</f>
        <v>0</v>
      </c>
      <c r="AB24" s="14">
        <f>'SDR Cost Estimate (FY08)'!AB24-'B2C Cost Est (FY08)'!AB24</f>
        <v>0</v>
      </c>
      <c r="AC24" s="14">
        <f>'SDR Cost Estimate (FY08)'!AC24-'B2C Cost Est (FY08)'!AC24</f>
        <v>0</v>
      </c>
      <c r="AD24" s="14">
        <f>'SDR Cost Estimate (FY08)'!AD24-'B2C Cost Est (FY08)'!AD24</f>
        <v>0</v>
      </c>
      <c r="AE24" s="14">
        <f>'SDR Cost Estimate (FY08)'!AE24-'B2C Cost Est (FY08)'!AE24</f>
        <v>0</v>
      </c>
      <c r="AF24" s="14">
        <f>SUM(AB24:AE24)</f>
        <v>0</v>
      </c>
      <c r="AG24" s="16"/>
      <c r="AH24" s="17"/>
      <c r="AJ24" s="14">
        <f>'SDR Cost Estimate (FY08)'!AJ24-'B2C Cost Est (FY08)'!AJ24</f>
        <v>0</v>
      </c>
      <c r="AK24" s="15">
        <f>'SDR Cost Estimate (FY08)'!AK24-'B2C Cost Est (FY08)'!AK24</f>
        <v>0</v>
      </c>
      <c r="AL24" s="14">
        <f>'SDR Cost Estimate (FY08)'!AL24-'B2C Cost Est (FY08)'!AL24</f>
        <v>0</v>
      </c>
      <c r="AM24" s="14">
        <f>'SDR Cost Estimate (FY08)'!AM24-'B2C Cost Est (FY08)'!AM24</f>
        <v>0</v>
      </c>
      <c r="AN24" s="14">
        <f>'SDR Cost Estimate (FY08)'!AN24-'B2C Cost Est (FY08)'!AN24</f>
        <v>0</v>
      </c>
      <c r="AO24" s="14">
        <f>'SDR Cost Estimate (FY08)'!AO24-'B2C Cost Est (FY08)'!AO24</f>
        <v>0</v>
      </c>
      <c r="AP24" s="14">
        <f>'SDR Cost Estimate (FY08)'!AP24-'B2C Cost Est (FY08)'!AP24</f>
        <v>0</v>
      </c>
      <c r="AQ24" s="14">
        <f>SUM(AM24:AP24)</f>
        <v>0</v>
      </c>
      <c r="AR24" s="16"/>
      <c r="AS24" s="17"/>
      <c r="AU24" s="14">
        <f>'SDR Cost Estimate (FY08)'!AU24-'B2C Cost Est (FY08)'!AU24</f>
        <v>0</v>
      </c>
      <c r="AV24" s="15">
        <f>'SDR Cost Estimate (FY08)'!AV24-'B2C Cost Est (FY08)'!AV24</f>
        <v>0</v>
      </c>
      <c r="AW24" s="14">
        <f>'SDR Cost Estimate (FY08)'!AW24-'B2C Cost Est (FY08)'!AW24</f>
        <v>0</v>
      </c>
      <c r="AX24" s="14">
        <f>'SDR Cost Estimate (FY08)'!AX24-'B2C Cost Est (FY08)'!AX24</f>
        <v>0</v>
      </c>
      <c r="AY24" s="14">
        <f>'SDR Cost Estimate (FY08)'!AY24-'B2C Cost Est (FY08)'!AY24</f>
        <v>0</v>
      </c>
      <c r="AZ24" s="14">
        <f>'SDR Cost Estimate (FY08)'!AZ24-'B2C Cost Est (FY08)'!AZ24</f>
        <v>0</v>
      </c>
      <c r="BA24" s="14">
        <f>'SDR Cost Estimate (FY08)'!BA24-'B2C Cost Est (FY08)'!BA24</f>
        <v>0</v>
      </c>
      <c r="BB24" s="14">
        <f>SUM(AX24:BA24)</f>
        <v>0</v>
      </c>
      <c r="BC24" s="16"/>
      <c r="BD24" s="17"/>
    </row>
    <row r="25" spans="1:56" ht="12.75" hidden="1">
      <c r="A25" s="23">
        <v>3.4</v>
      </c>
      <c r="B25" s="13" t="s">
        <v>878</v>
      </c>
      <c r="C25" s="14"/>
      <c r="D25" s="15"/>
      <c r="E25" s="14"/>
      <c r="F25" s="14"/>
      <c r="G25" s="14"/>
      <c r="H25" s="14"/>
      <c r="I25" s="14"/>
      <c r="J25" s="14"/>
      <c r="K25" s="16"/>
      <c r="L25" s="17"/>
      <c r="N25" s="14"/>
      <c r="O25" s="15"/>
      <c r="P25" s="14"/>
      <c r="Q25" s="14"/>
      <c r="R25" s="14"/>
      <c r="S25" s="14"/>
      <c r="T25" s="14"/>
      <c r="U25" s="14"/>
      <c r="V25" s="16"/>
      <c r="W25" s="17"/>
      <c r="Y25" s="14"/>
      <c r="Z25" s="15"/>
      <c r="AA25" s="14"/>
      <c r="AB25" s="14"/>
      <c r="AC25" s="14"/>
      <c r="AD25" s="14"/>
      <c r="AE25" s="14"/>
      <c r="AF25" s="14"/>
      <c r="AG25" s="16"/>
      <c r="AH25" s="17"/>
      <c r="AJ25" s="14"/>
      <c r="AK25" s="15"/>
      <c r="AL25" s="14"/>
      <c r="AM25" s="14"/>
      <c r="AN25" s="14"/>
      <c r="AO25" s="14"/>
      <c r="AP25" s="14"/>
      <c r="AQ25" s="14"/>
      <c r="AR25" s="16"/>
      <c r="AS25" s="17"/>
      <c r="AU25" s="14"/>
      <c r="AV25" s="15"/>
      <c r="AW25" s="14"/>
      <c r="AX25" s="14"/>
      <c r="AY25" s="14"/>
      <c r="AZ25" s="14"/>
      <c r="BA25" s="14"/>
      <c r="BB25" s="14"/>
      <c r="BC25" s="16"/>
      <c r="BD25" s="17"/>
    </row>
    <row r="26" spans="1:56" ht="12.75" hidden="1">
      <c r="A26" s="23" t="s">
        <v>879</v>
      </c>
      <c r="B26" s="13" t="s">
        <v>880</v>
      </c>
      <c r="C26" s="14">
        <f>'SDR Cost Estimate (FY08)'!C26-'B2C Cost Est (FY08)'!C26</f>
        <v>0</v>
      </c>
      <c r="D26" s="15">
        <f>'SDR Cost Estimate (FY08)'!D26-'B2C Cost Est (FY08)'!D26</f>
        <v>0</v>
      </c>
      <c r="E26" s="14">
        <f>'SDR Cost Estimate (FY08)'!E26-'B2C Cost Est (FY08)'!E26</f>
        <v>0</v>
      </c>
      <c r="F26" s="14">
        <f>'SDR Cost Estimate (FY08)'!F26-'B2C Cost Est (FY08)'!F26</f>
        <v>0</v>
      </c>
      <c r="G26" s="14">
        <f>'SDR Cost Estimate (FY08)'!G26-'B2C Cost Est (FY08)'!G26</f>
        <v>0</v>
      </c>
      <c r="H26" s="14">
        <f>'SDR Cost Estimate (FY08)'!H26-'B2C Cost Est (FY08)'!H26</f>
        <v>0</v>
      </c>
      <c r="I26" s="14">
        <f>'SDR Cost Estimate (FY08)'!I26-'B2C Cost Est (FY08)'!I26</f>
        <v>0</v>
      </c>
      <c r="J26" s="14">
        <f aca="true" t="shared" si="10" ref="J26:J35">SUM(F26:I26)</f>
        <v>0</v>
      </c>
      <c r="K26" s="16"/>
      <c r="L26" s="17"/>
      <c r="N26" s="14">
        <f>'SDR Cost Estimate (FY08)'!N26-'B2C Cost Est (FY08)'!N26</f>
        <v>0</v>
      </c>
      <c r="O26" s="15">
        <f>'SDR Cost Estimate (FY08)'!O26-'B2C Cost Est (FY08)'!O26</f>
        <v>0</v>
      </c>
      <c r="P26" s="14">
        <f>'SDR Cost Estimate (FY08)'!P26-'B2C Cost Est (FY08)'!P26</f>
        <v>0</v>
      </c>
      <c r="Q26" s="14">
        <f>'SDR Cost Estimate (FY08)'!Q26-'B2C Cost Est (FY08)'!Q26</f>
        <v>0</v>
      </c>
      <c r="R26" s="14">
        <f>'SDR Cost Estimate (FY08)'!R26-'B2C Cost Est (FY08)'!R26</f>
        <v>0</v>
      </c>
      <c r="S26" s="14">
        <f>'SDR Cost Estimate (FY08)'!S26-'B2C Cost Est (FY08)'!S26</f>
        <v>0</v>
      </c>
      <c r="T26" s="14">
        <f>'SDR Cost Estimate (FY08)'!T26-'B2C Cost Est (FY08)'!T26</f>
        <v>0</v>
      </c>
      <c r="U26" s="14">
        <f aca="true" t="shared" si="11" ref="U26:U35">SUM(Q26:T26)</f>
        <v>0</v>
      </c>
      <c r="V26" s="16"/>
      <c r="W26" s="17"/>
      <c r="Y26" s="14">
        <f>'SDR Cost Estimate (FY08)'!Y26-'B2C Cost Est (FY08)'!Y26</f>
        <v>0</v>
      </c>
      <c r="Z26" s="15">
        <f>'SDR Cost Estimate (FY08)'!Z26-'B2C Cost Est (FY08)'!Z26</f>
        <v>0</v>
      </c>
      <c r="AA26" s="14">
        <f>'SDR Cost Estimate (FY08)'!AA26-'B2C Cost Est (FY08)'!AA26</f>
        <v>0</v>
      </c>
      <c r="AB26" s="14">
        <f>'SDR Cost Estimate (FY08)'!AB26-'B2C Cost Est (FY08)'!AB26</f>
        <v>0</v>
      </c>
      <c r="AC26" s="14">
        <f>'SDR Cost Estimate (FY08)'!AC26-'B2C Cost Est (FY08)'!AC26</f>
        <v>0</v>
      </c>
      <c r="AD26" s="14">
        <f>'SDR Cost Estimate (FY08)'!AD26-'B2C Cost Est (FY08)'!AD26</f>
        <v>0</v>
      </c>
      <c r="AE26" s="14">
        <f>'SDR Cost Estimate (FY08)'!AE26-'B2C Cost Est (FY08)'!AE26</f>
        <v>0</v>
      </c>
      <c r="AF26" s="14">
        <f aca="true" t="shared" si="12" ref="AF26:AF35">SUM(AB26:AE26)</f>
        <v>0</v>
      </c>
      <c r="AG26" s="16"/>
      <c r="AH26" s="17"/>
      <c r="AJ26" s="14">
        <f>'SDR Cost Estimate (FY08)'!AJ26-'B2C Cost Est (FY08)'!AJ26</f>
        <v>0</v>
      </c>
      <c r="AK26" s="15">
        <f>'SDR Cost Estimate (FY08)'!AK26-'B2C Cost Est (FY08)'!AK26</f>
        <v>0</v>
      </c>
      <c r="AL26" s="14">
        <f>'SDR Cost Estimate (FY08)'!AL26-'B2C Cost Est (FY08)'!AL26</f>
        <v>0</v>
      </c>
      <c r="AM26" s="14">
        <f>'SDR Cost Estimate (FY08)'!AM26-'B2C Cost Est (FY08)'!AM26</f>
        <v>0</v>
      </c>
      <c r="AN26" s="14">
        <f>'SDR Cost Estimate (FY08)'!AN26-'B2C Cost Est (FY08)'!AN26</f>
        <v>0</v>
      </c>
      <c r="AO26" s="14">
        <f>'SDR Cost Estimate (FY08)'!AO26-'B2C Cost Est (FY08)'!AO26</f>
        <v>0</v>
      </c>
      <c r="AP26" s="14">
        <f>'SDR Cost Estimate (FY08)'!AP26-'B2C Cost Est (FY08)'!AP26</f>
        <v>0</v>
      </c>
      <c r="AQ26" s="14">
        <f aca="true" t="shared" si="13" ref="AQ26:AQ35">SUM(AM26:AP26)</f>
        <v>0</v>
      </c>
      <c r="AR26" s="16"/>
      <c r="AS26" s="17"/>
      <c r="AU26" s="14">
        <f>'SDR Cost Estimate (FY08)'!AU26-'B2C Cost Est (FY08)'!AU26</f>
        <v>0</v>
      </c>
      <c r="AV26" s="15">
        <f>'SDR Cost Estimate (FY08)'!AV26-'B2C Cost Est (FY08)'!AV26</f>
        <v>0</v>
      </c>
      <c r="AW26" s="14">
        <f>'SDR Cost Estimate (FY08)'!AW26-'B2C Cost Est (FY08)'!AW26</f>
        <v>0</v>
      </c>
      <c r="AX26" s="14">
        <f>'SDR Cost Estimate (FY08)'!AX26-'B2C Cost Est (FY08)'!AX26</f>
        <v>0</v>
      </c>
      <c r="AY26" s="14">
        <f>'SDR Cost Estimate (FY08)'!AY26-'B2C Cost Est (FY08)'!AY26</f>
        <v>0</v>
      </c>
      <c r="AZ26" s="14">
        <f>'SDR Cost Estimate (FY08)'!AZ26-'B2C Cost Est (FY08)'!AZ26</f>
        <v>0</v>
      </c>
      <c r="BA26" s="14">
        <f>'SDR Cost Estimate (FY08)'!BA26-'B2C Cost Est (FY08)'!BA26</f>
        <v>0</v>
      </c>
      <c r="BB26" s="14">
        <f aca="true" t="shared" si="14" ref="BB26:BB35">SUM(AX26:BA26)</f>
        <v>0</v>
      </c>
      <c r="BC26" s="16"/>
      <c r="BD26" s="17"/>
    </row>
    <row r="27" spans="1:56" ht="12.75" hidden="1">
      <c r="A27" s="23" t="s">
        <v>881</v>
      </c>
      <c r="B27" s="13" t="s">
        <v>882</v>
      </c>
      <c r="C27" s="14">
        <f>'SDR Cost Estimate (FY08)'!C27-'B2C Cost Est (FY08)'!C27</f>
        <v>0</v>
      </c>
      <c r="D27" s="15">
        <f>'SDR Cost Estimate (FY08)'!D27-'B2C Cost Est (FY08)'!D27</f>
        <v>0</v>
      </c>
      <c r="E27" s="14">
        <f>'SDR Cost Estimate (FY08)'!E27-'B2C Cost Est (FY08)'!E27</f>
        <v>0</v>
      </c>
      <c r="F27" s="14">
        <f>'SDR Cost Estimate (FY08)'!F27-'B2C Cost Est (FY08)'!F27</f>
        <v>0</v>
      </c>
      <c r="G27" s="14">
        <f>'SDR Cost Estimate (FY08)'!G27-'B2C Cost Est (FY08)'!G27</f>
        <v>0</v>
      </c>
      <c r="H27" s="14">
        <f>'SDR Cost Estimate (FY08)'!H27-'B2C Cost Est (FY08)'!H27</f>
        <v>0</v>
      </c>
      <c r="I27" s="14">
        <f>'SDR Cost Estimate (FY08)'!I27-'B2C Cost Est (FY08)'!I27</f>
        <v>0</v>
      </c>
      <c r="J27" s="14">
        <f t="shared" si="10"/>
        <v>0</v>
      </c>
      <c r="K27" s="16"/>
      <c r="L27" s="17"/>
      <c r="N27" s="14">
        <f>'SDR Cost Estimate (FY08)'!N27-'B2C Cost Est (FY08)'!N27</f>
        <v>0</v>
      </c>
      <c r="O27" s="15">
        <f>'SDR Cost Estimate (FY08)'!O27-'B2C Cost Est (FY08)'!O27</f>
        <v>0</v>
      </c>
      <c r="P27" s="14">
        <f>'SDR Cost Estimate (FY08)'!P27-'B2C Cost Est (FY08)'!P27</f>
        <v>0</v>
      </c>
      <c r="Q27" s="14">
        <f>'SDR Cost Estimate (FY08)'!Q27-'B2C Cost Est (FY08)'!Q27</f>
        <v>0</v>
      </c>
      <c r="R27" s="14">
        <f>'SDR Cost Estimate (FY08)'!R27-'B2C Cost Est (FY08)'!R27</f>
        <v>0</v>
      </c>
      <c r="S27" s="14">
        <f>'SDR Cost Estimate (FY08)'!S27-'B2C Cost Est (FY08)'!S27</f>
        <v>0</v>
      </c>
      <c r="T27" s="14">
        <f>'SDR Cost Estimate (FY08)'!T27-'B2C Cost Est (FY08)'!T27</f>
        <v>0</v>
      </c>
      <c r="U27" s="14">
        <f t="shared" si="11"/>
        <v>0</v>
      </c>
      <c r="V27" s="16"/>
      <c r="W27" s="17"/>
      <c r="Y27" s="14">
        <f>'SDR Cost Estimate (FY08)'!Y27-'B2C Cost Est (FY08)'!Y27</f>
        <v>0</v>
      </c>
      <c r="Z27" s="15">
        <f>'SDR Cost Estimate (FY08)'!Z27-'B2C Cost Est (FY08)'!Z27</f>
        <v>0</v>
      </c>
      <c r="AA27" s="14">
        <f>'SDR Cost Estimate (FY08)'!AA27-'B2C Cost Est (FY08)'!AA27</f>
        <v>0</v>
      </c>
      <c r="AB27" s="14">
        <f>'SDR Cost Estimate (FY08)'!AB27-'B2C Cost Est (FY08)'!AB27</f>
        <v>0</v>
      </c>
      <c r="AC27" s="14">
        <f>'SDR Cost Estimate (FY08)'!AC27-'B2C Cost Est (FY08)'!AC27</f>
        <v>0</v>
      </c>
      <c r="AD27" s="14">
        <f>'SDR Cost Estimate (FY08)'!AD27-'B2C Cost Est (FY08)'!AD27</f>
        <v>0</v>
      </c>
      <c r="AE27" s="14">
        <f>'SDR Cost Estimate (FY08)'!AE27-'B2C Cost Est (FY08)'!AE27</f>
        <v>0</v>
      </c>
      <c r="AF27" s="14">
        <f t="shared" si="12"/>
        <v>0</v>
      </c>
      <c r="AG27" s="16"/>
      <c r="AH27" s="17"/>
      <c r="AJ27" s="14">
        <f>'SDR Cost Estimate (FY08)'!AJ27-'B2C Cost Est (FY08)'!AJ27</f>
        <v>0</v>
      </c>
      <c r="AK27" s="15">
        <f>'SDR Cost Estimate (FY08)'!AK27-'B2C Cost Est (FY08)'!AK27</f>
        <v>0</v>
      </c>
      <c r="AL27" s="14">
        <f>'SDR Cost Estimate (FY08)'!AL27-'B2C Cost Est (FY08)'!AL27</f>
        <v>0</v>
      </c>
      <c r="AM27" s="14">
        <f>'SDR Cost Estimate (FY08)'!AM27-'B2C Cost Est (FY08)'!AM27</f>
        <v>0</v>
      </c>
      <c r="AN27" s="14">
        <f>'SDR Cost Estimate (FY08)'!AN27-'B2C Cost Est (FY08)'!AN27</f>
        <v>0</v>
      </c>
      <c r="AO27" s="14">
        <f>'SDR Cost Estimate (FY08)'!AO27-'B2C Cost Est (FY08)'!AO27</f>
        <v>0</v>
      </c>
      <c r="AP27" s="14">
        <f>'SDR Cost Estimate (FY08)'!AP27-'B2C Cost Est (FY08)'!AP27</f>
        <v>0</v>
      </c>
      <c r="AQ27" s="14">
        <f t="shared" si="13"/>
        <v>0</v>
      </c>
      <c r="AR27" s="16"/>
      <c r="AS27" s="17"/>
      <c r="AU27" s="14">
        <f>'SDR Cost Estimate (FY08)'!AU27-'B2C Cost Est (FY08)'!AU27</f>
        <v>0</v>
      </c>
      <c r="AV27" s="15">
        <f>'SDR Cost Estimate (FY08)'!AV27-'B2C Cost Est (FY08)'!AV27</f>
        <v>0</v>
      </c>
      <c r="AW27" s="14">
        <f>'SDR Cost Estimate (FY08)'!AW27-'B2C Cost Est (FY08)'!AW27</f>
        <v>0</v>
      </c>
      <c r="AX27" s="14">
        <f>'SDR Cost Estimate (FY08)'!AX27-'B2C Cost Est (FY08)'!AX27</f>
        <v>0</v>
      </c>
      <c r="AY27" s="14">
        <f>'SDR Cost Estimate (FY08)'!AY27-'B2C Cost Est (FY08)'!AY27</f>
        <v>0</v>
      </c>
      <c r="AZ27" s="14">
        <f>'SDR Cost Estimate (FY08)'!AZ27-'B2C Cost Est (FY08)'!AZ27</f>
        <v>0</v>
      </c>
      <c r="BA27" s="14">
        <f>'SDR Cost Estimate (FY08)'!BA27-'B2C Cost Est (FY08)'!BA27</f>
        <v>0</v>
      </c>
      <c r="BB27" s="14">
        <f t="shared" si="14"/>
        <v>0</v>
      </c>
      <c r="BC27" s="16"/>
      <c r="BD27" s="17"/>
    </row>
    <row r="28" spans="1:56" ht="12.75" hidden="1">
      <c r="A28" s="23" t="s">
        <v>883</v>
      </c>
      <c r="B28" s="13" t="s">
        <v>884</v>
      </c>
      <c r="C28" s="14">
        <f>'SDR Cost Estimate (FY08)'!C28-'B2C Cost Est (FY08)'!C28</f>
        <v>0</v>
      </c>
      <c r="D28" s="15">
        <f>'SDR Cost Estimate (FY08)'!D28-'B2C Cost Est (FY08)'!D28</f>
        <v>0</v>
      </c>
      <c r="E28" s="14">
        <f>'SDR Cost Estimate (FY08)'!E28-'B2C Cost Est (FY08)'!E28</f>
        <v>0</v>
      </c>
      <c r="F28" s="14">
        <f>'SDR Cost Estimate (FY08)'!F28-'B2C Cost Est (FY08)'!F28</f>
        <v>0</v>
      </c>
      <c r="G28" s="14">
        <f>'SDR Cost Estimate (FY08)'!G28-'B2C Cost Est (FY08)'!G28</f>
        <v>0</v>
      </c>
      <c r="H28" s="14">
        <f>'SDR Cost Estimate (FY08)'!H28-'B2C Cost Est (FY08)'!H28</f>
        <v>0</v>
      </c>
      <c r="I28" s="14">
        <f>'SDR Cost Estimate (FY08)'!I28-'B2C Cost Est (FY08)'!I28</f>
        <v>0</v>
      </c>
      <c r="J28" s="14">
        <f t="shared" si="10"/>
        <v>0</v>
      </c>
      <c r="K28" s="16"/>
      <c r="L28" s="17"/>
      <c r="N28" s="14">
        <f>'SDR Cost Estimate (FY08)'!N28-'B2C Cost Est (FY08)'!N28</f>
        <v>0</v>
      </c>
      <c r="O28" s="15">
        <f>'SDR Cost Estimate (FY08)'!O28-'B2C Cost Est (FY08)'!O28</f>
        <v>0</v>
      </c>
      <c r="P28" s="14">
        <f>'SDR Cost Estimate (FY08)'!P28-'B2C Cost Est (FY08)'!P28</f>
        <v>0</v>
      </c>
      <c r="Q28" s="14">
        <f>'SDR Cost Estimate (FY08)'!Q28-'B2C Cost Est (FY08)'!Q28</f>
        <v>0</v>
      </c>
      <c r="R28" s="14">
        <f>'SDR Cost Estimate (FY08)'!R28-'B2C Cost Est (FY08)'!R28</f>
        <v>0</v>
      </c>
      <c r="S28" s="14">
        <f>'SDR Cost Estimate (FY08)'!S28-'B2C Cost Est (FY08)'!S28</f>
        <v>0</v>
      </c>
      <c r="T28" s="14">
        <f>'SDR Cost Estimate (FY08)'!T28-'B2C Cost Est (FY08)'!T28</f>
        <v>0</v>
      </c>
      <c r="U28" s="14">
        <f t="shared" si="11"/>
        <v>0</v>
      </c>
      <c r="V28" s="16"/>
      <c r="W28" s="17"/>
      <c r="Y28" s="14">
        <f>'SDR Cost Estimate (FY08)'!Y28-'B2C Cost Est (FY08)'!Y28</f>
        <v>0</v>
      </c>
      <c r="Z28" s="15">
        <f>'SDR Cost Estimate (FY08)'!Z28-'B2C Cost Est (FY08)'!Z28</f>
        <v>0</v>
      </c>
      <c r="AA28" s="14">
        <f>'SDR Cost Estimate (FY08)'!AA28-'B2C Cost Est (FY08)'!AA28</f>
        <v>0</v>
      </c>
      <c r="AB28" s="14">
        <f>'SDR Cost Estimate (FY08)'!AB28-'B2C Cost Est (FY08)'!AB28</f>
        <v>0</v>
      </c>
      <c r="AC28" s="14">
        <f>'SDR Cost Estimate (FY08)'!AC28-'B2C Cost Est (FY08)'!AC28</f>
        <v>0</v>
      </c>
      <c r="AD28" s="14">
        <f>'SDR Cost Estimate (FY08)'!AD28-'B2C Cost Est (FY08)'!AD28</f>
        <v>0</v>
      </c>
      <c r="AE28" s="14">
        <f>'SDR Cost Estimate (FY08)'!AE28-'B2C Cost Est (FY08)'!AE28</f>
        <v>0</v>
      </c>
      <c r="AF28" s="14">
        <f t="shared" si="12"/>
        <v>0</v>
      </c>
      <c r="AG28" s="16"/>
      <c r="AH28" s="17"/>
      <c r="AJ28" s="14">
        <f>'SDR Cost Estimate (FY08)'!AJ28-'B2C Cost Est (FY08)'!AJ28</f>
        <v>0</v>
      </c>
      <c r="AK28" s="15">
        <f>'SDR Cost Estimate (FY08)'!AK28-'B2C Cost Est (FY08)'!AK28</f>
        <v>0</v>
      </c>
      <c r="AL28" s="14">
        <f>'SDR Cost Estimate (FY08)'!AL28-'B2C Cost Est (FY08)'!AL28</f>
        <v>0</v>
      </c>
      <c r="AM28" s="14">
        <f>'SDR Cost Estimate (FY08)'!AM28-'B2C Cost Est (FY08)'!AM28</f>
        <v>0</v>
      </c>
      <c r="AN28" s="14">
        <f>'SDR Cost Estimate (FY08)'!AN28-'B2C Cost Est (FY08)'!AN28</f>
        <v>0</v>
      </c>
      <c r="AO28" s="14">
        <f>'SDR Cost Estimate (FY08)'!AO28-'B2C Cost Est (FY08)'!AO28</f>
        <v>0</v>
      </c>
      <c r="AP28" s="14">
        <f>'SDR Cost Estimate (FY08)'!AP28-'B2C Cost Est (FY08)'!AP28</f>
        <v>0</v>
      </c>
      <c r="AQ28" s="14">
        <f t="shared" si="13"/>
        <v>0</v>
      </c>
      <c r="AR28" s="16"/>
      <c r="AS28" s="17"/>
      <c r="AU28" s="14">
        <f>'SDR Cost Estimate (FY08)'!AU28-'B2C Cost Est (FY08)'!AU28</f>
        <v>0</v>
      </c>
      <c r="AV28" s="15">
        <f>'SDR Cost Estimate (FY08)'!AV28-'B2C Cost Est (FY08)'!AV28</f>
        <v>0</v>
      </c>
      <c r="AW28" s="14">
        <f>'SDR Cost Estimate (FY08)'!AW28-'B2C Cost Est (FY08)'!AW28</f>
        <v>0</v>
      </c>
      <c r="AX28" s="14">
        <f>'SDR Cost Estimate (FY08)'!AX28-'B2C Cost Est (FY08)'!AX28</f>
        <v>0</v>
      </c>
      <c r="AY28" s="14">
        <f>'SDR Cost Estimate (FY08)'!AY28-'B2C Cost Est (FY08)'!AY28</f>
        <v>0</v>
      </c>
      <c r="AZ28" s="14">
        <f>'SDR Cost Estimate (FY08)'!AZ28-'B2C Cost Est (FY08)'!AZ28</f>
        <v>0</v>
      </c>
      <c r="BA28" s="14">
        <f>'SDR Cost Estimate (FY08)'!BA28-'B2C Cost Est (FY08)'!BA28</f>
        <v>0</v>
      </c>
      <c r="BB28" s="14">
        <f t="shared" si="14"/>
        <v>0</v>
      </c>
      <c r="BC28" s="16"/>
      <c r="BD28" s="17"/>
    </row>
    <row r="29" spans="1:56" ht="12.75" hidden="1">
      <c r="A29" s="23" t="s">
        <v>885</v>
      </c>
      <c r="B29" s="13" t="s">
        <v>886</v>
      </c>
      <c r="C29" s="14">
        <f>'SDR Cost Estimate (FY08)'!C29-'B2C Cost Est (FY08)'!C29</f>
        <v>0</v>
      </c>
      <c r="D29" s="15">
        <f>'SDR Cost Estimate (FY08)'!D29-'B2C Cost Est (FY08)'!D29</f>
        <v>0</v>
      </c>
      <c r="E29" s="14">
        <f>'SDR Cost Estimate (FY08)'!E29-'B2C Cost Est (FY08)'!E29</f>
        <v>0</v>
      </c>
      <c r="F29" s="14">
        <f>'SDR Cost Estimate (FY08)'!F29-'B2C Cost Est (FY08)'!F29</f>
        <v>0</v>
      </c>
      <c r="G29" s="14">
        <f>'SDR Cost Estimate (FY08)'!G29-'B2C Cost Est (FY08)'!G29</f>
        <v>0</v>
      </c>
      <c r="H29" s="14">
        <f>'SDR Cost Estimate (FY08)'!H29-'B2C Cost Est (FY08)'!H29</f>
        <v>0</v>
      </c>
      <c r="I29" s="14">
        <f>'SDR Cost Estimate (FY08)'!I29-'B2C Cost Est (FY08)'!I29</f>
        <v>0</v>
      </c>
      <c r="J29" s="14">
        <f t="shared" si="10"/>
        <v>0</v>
      </c>
      <c r="K29" s="16"/>
      <c r="L29" s="17"/>
      <c r="N29" s="14">
        <f>'SDR Cost Estimate (FY08)'!N29-'B2C Cost Est (FY08)'!N29</f>
        <v>0</v>
      </c>
      <c r="O29" s="15">
        <f>'SDR Cost Estimate (FY08)'!O29-'B2C Cost Est (FY08)'!O29</f>
        <v>0</v>
      </c>
      <c r="P29" s="14">
        <f>'SDR Cost Estimate (FY08)'!P29-'B2C Cost Est (FY08)'!P29</f>
        <v>0</v>
      </c>
      <c r="Q29" s="14">
        <f>'SDR Cost Estimate (FY08)'!Q29-'B2C Cost Est (FY08)'!Q29</f>
        <v>0</v>
      </c>
      <c r="R29" s="14">
        <f>'SDR Cost Estimate (FY08)'!R29-'B2C Cost Est (FY08)'!R29</f>
        <v>0</v>
      </c>
      <c r="S29" s="14">
        <f>'SDR Cost Estimate (FY08)'!S29-'B2C Cost Est (FY08)'!S29</f>
        <v>0</v>
      </c>
      <c r="T29" s="14">
        <f>'SDR Cost Estimate (FY08)'!T29-'B2C Cost Est (FY08)'!T29</f>
        <v>0</v>
      </c>
      <c r="U29" s="14">
        <f t="shared" si="11"/>
        <v>0</v>
      </c>
      <c r="V29" s="16"/>
      <c r="W29" s="17"/>
      <c r="Y29" s="14">
        <f>'SDR Cost Estimate (FY08)'!Y29-'B2C Cost Est (FY08)'!Y29</f>
        <v>0</v>
      </c>
      <c r="Z29" s="15">
        <f>'SDR Cost Estimate (FY08)'!Z29-'B2C Cost Est (FY08)'!Z29</f>
        <v>0</v>
      </c>
      <c r="AA29" s="14">
        <f>'SDR Cost Estimate (FY08)'!AA29-'B2C Cost Est (FY08)'!AA29</f>
        <v>0</v>
      </c>
      <c r="AB29" s="14">
        <f>'SDR Cost Estimate (FY08)'!AB29-'B2C Cost Est (FY08)'!AB29</f>
        <v>0</v>
      </c>
      <c r="AC29" s="14">
        <f>'SDR Cost Estimate (FY08)'!AC29-'B2C Cost Est (FY08)'!AC29</f>
        <v>0</v>
      </c>
      <c r="AD29" s="14">
        <f>'SDR Cost Estimate (FY08)'!AD29-'B2C Cost Est (FY08)'!AD29</f>
        <v>0</v>
      </c>
      <c r="AE29" s="14">
        <f>'SDR Cost Estimate (FY08)'!AE29-'B2C Cost Est (FY08)'!AE29</f>
        <v>0</v>
      </c>
      <c r="AF29" s="14">
        <f t="shared" si="12"/>
        <v>0</v>
      </c>
      <c r="AG29" s="16"/>
      <c r="AH29" s="17"/>
      <c r="AJ29" s="14">
        <f>'SDR Cost Estimate (FY08)'!AJ29-'B2C Cost Est (FY08)'!AJ29</f>
        <v>0</v>
      </c>
      <c r="AK29" s="15">
        <f>'SDR Cost Estimate (FY08)'!AK29-'B2C Cost Est (FY08)'!AK29</f>
        <v>0</v>
      </c>
      <c r="AL29" s="14">
        <f>'SDR Cost Estimate (FY08)'!AL29-'B2C Cost Est (FY08)'!AL29</f>
        <v>0</v>
      </c>
      <c r="AM29" s="14">
        <f>'SDR Cost Estimate (FY08)'!AM29-'B2C Cost Est (FY08)'!AM29</f>
        <v>0</v>
      </c>
      <c r="AN29" s="14">
        <f>'SDR Cost Estimate (FY08)'!AN29-'B2C Cost Est (FY08)'!AN29</f>
        <v>0</v>
      </c>
      <c r="AO29" s="14">
        <f>'SDR Cost Estimate (FY08)'!AO29-'B2C Cost Est (FY08)'!AO29</f>
        <v>0</v>
      </c>
      <c r="AP29" s="14">
        <f>'SDR Cost Estimate (FY08)'!AP29-'B2C Cost Est (FY08)'!AP29</f>
        <v>0</v>
      </c>
      <c r="AQ29" s="14">
        <f t="shared" si="13"/>
        <v>0</v>
      </c>
      <c r="AR29" s="16"/>
      <c r="AS29" s="17"/>
      <c r="AU29" s="14">
        <f>'SDR Cost Estimate (FY08)'!AU29-'B2C Cost Est (FY08)'!AU29</f>
        <v>0</v>
      </c>
      <c r="AV29" s="15">
        <f>'SDR Cost Estimate (FY08)'!AV29-'B2C Cost Est (FY08)'!AV29</f>
        <v>0</v>
      </c>
      <c r="AW29" s="14">
        <f>'SDR Cost Estimate (FY08)'!AW29-'B2C Cost Est (FY08)'!AW29</f>
        <v>0</v>
      </c>
      <c r="AX29" s="14">
        <f>'SDR Cost Estimate (FY08)'!AX29-'B2C Cost Est (FY08)'!AX29</f>
        <v>0</v>
      </c>
      <c r="AY29" s="14">
        <f>'SDR Cost Estimate (FY08)'!AY29-'B2C Cost Est (FY08)'!AY29</f>
        <v>0</v>
      </c>
      <c r="AZ29" s="14">
        <f>'SDR Cost Estimate (FY08)'!AZ29-'B2C Cost Est (FY08)'!AZ29</f>
        <v>0</v>
      </c>
      <c r="BA29" s="14">
        <f>'SDR Cost Estimate (FY08)'!BA29-'B2C Cost Est (FY08)'!BA29</f>
        <v>0</v>
      </c>
      <c r="BB29" s="14">
        <f t="shared" si="14"/>
        <v>0</v>
      </c>
      <c r="BC29" s="16"/>
      <c r="BD29" s="17"/>
    </row>
    <row r="30" spans="1:56" ht="12.75" hidden="1">
      <c r="A30" s="13">
        <v>3.5</v>
      </c>
      <c r="B30" s="13" t="s">
        <v>887</v>
      </c>
      <c r="C30" s="14">
        <f>'SDR Cost Estimate (FY08)'!C30-'B2C Cost Est (FY08)'!C30</f>
        <v>0</v>
      </c>
      <c r="D30" s="15">
        <f>'SDR Cost Estimate (FY08)'!D30-'B2C Cost Est (FY08)'!D30</f>
        <v>0</v>
      </c>
      <c r="E30" s="14">
        <f>'SDR Cost Estimate (FY08)'!E30-'B2C Cost Est (FY08)'!E30</f>
        <v>0</v>
      </c>
      <c r="F30" s="14">
        <f>'SDR Cost Estimate (FY08)'!F30-'B2C Cost Est (FY08)'!F30</f>
        <v>0</v>
      </c>
      <c r="G30" s="14">
        <f>'SDR Cost Estimate (FY08)'!G30-'B2C Cost Est (FY08)'!G30</f>
        <v>0</v>
      </c>
      <c r="H30" s="14">
        <f>'SDR Cost Estimate (FY08)'!H30-'B2C Cost Est (FY08)'!H30</f>
        <v>0</v>
      </c>
      <c r="I30" s="14">
        <f>'SDR Cost Estimate (FY08)'!I30-'B2C Cost Est (FY08)'!I30</f>
        <v>0</v>
      </c>
      <c r="J30" s="14">
        <f t="shared" si="10"/>
        <v>0</v>
      </c>
      <c r="K30" s="16"/>
      <c r="L30" s="17"/>
      <c r="N30" s="14">
        <f>'SDR Cost Estimate (FY08)'!N30-'B2C Cost Est (FY08)'!N30</f>
        <v>0</v>
      </c>
      <c r="O30" s="15">
        <f>'SDR Cost Estimate (FY08)'!O30-'B2C Cost Est (FY08)'!O30</f>
        <v>0</v>
      </c>
      <c r="P30" s="14">
        <f>'SDR Cost Estimate (FY08)'!P30-'B2C Cost Est (FY08)'!P30</f>
        <v>0</v>
      </c>
      <c r="Q30" s="14">
        <f>'SDR Cost Estimate (FY08)'!Q30-'B2C Cost Est (FY08)'!Q30</f>
        <v>0</v>
      </c>
      <c r="R30" s="14">
        <f>'SDR Cost Estimate (FY08)'!R30-'B2C Cost Est (FY08)'!R30</f>
        <v>0</v>
      </c>
      <c r="S30" s="14">
        <f>'SDR Cost Estimate (FY08)'!S30-'B2C Cost Est (FY08)'!S30</f>
        <v>0</v>
      </c>
      <c r="T30" s="14">
        <f>'SDR Cost Estimate (FY08)'!T30-'B2C Cost Est (FY08)'!T30</f>
        <v>0</v>
      </c>
      <c r="U30" s="14">
        <f t="shared" si="11"/>
        <v>0</v>
      </c>
      <c r="V30" s="16"/>
      <c r="W30" s="17"/>
      <c r="Y30" s="14">
        <f>'SDR Cost Estimate (FY08)'!Y30-'B2C Cost Est (FY08)'!Y30</f>
        <v>0</v>
      </c>
      <c r="Z30" s="15">
        <f>'SDR Cost Estimate (FY08)'!Z30-'B2C Cost Est (FY08)'!Z30</f>
        <v>0</v>
      </c>
      <c r="AA30" s="14">
        <f>'SDR Cost Estimate (FY08)'!AA30-'B2C Cost Est (FY08)'!AA30</f>
        <v>0</v>
      </c>
      <c r="AB30" s="14">
        <f>'SDR Cost Estimate (FY08)'!AB30-'B2C Cost Est (FY08)'!AB30</f>
        <v>0</v>
      </c>
      <c r="AC30" s="14">
        <f>'SDR Cost Estimate (FY08)'!AC30-'B2C Cost Est (FY08)'!AC30</f>
        <v>0</v>
      </c>
      <c r="AD30" s="14">
        <f>'SDR Cost Estimate (FY08)'!AD30-'B2C Cost Est (FY08)'!AD30</f>
        <v>0</v>
      </c>
      <c r="AE30" s="14">
        <f>'SDR Cost Estimate (FY08)'!AE30-'B2C Cost Est (FY08)'!AE30</f>
        <v>0</v>
      </c>
      <c r="AF30" s="14">
        <f t="shared" si="12"/>
        <v>0</v>
      </c>
      <c r="AG30" s="16"/>
      <c r="AH30" s="17"/>
      <c r="AJ30" s="14">
        <f>'SDR Cost Estimate (FY08)'!AJ30-'B2C Cost Est (FY08)'!AJ30</f>
        <v>0</v>
      </c>
      <c r="AK30" s="15">
        <f>'SDR Cost Estimate (FY08)'!AK30-'B2C Cost Est (FY08)'!AK30</f>
        <v>0</v>
      </c>
      <c r="AL30" s="14">
        <f>'SDR Cost Estimate (FY08)'!AL30-'B2C Cost Est (FY08)'!AL30</f>
        <v>0</v>
      </c>
      <c r="AM30" s="14">
        <f>'SDR Cost Estimate (FY08)'!AM30-'B2C Cost Est (FY08)'!AM30</f>
        <v>0</v>
      </c>
      <c r="AN30" s="14">
        <f>'SDR Cost Estimate (FY08)'!AN30-'B2C Cost Est (FY08)'!AN30</f>
        <v>0</v>
      </c>
      <c r="AO30" s="14">
        <f>'SDR Cost Estimate (FY08)'!AO30-'B2C Cost Est (FY08)'!AO30</f>
        <v>0</v>
      </c>
      <c r="AP30" s="14">
        <f>'SDR Cost Estimate (FY08)'!AP30-'B2C Cost Est (FY08)'!AP30</f>
        <v>0</v>
      </c>
      <c r="AQ30" s="14">
        <f t="shared" si="13"/>
        <v>0</v>
      </c>
      <c r="AR30" s="16"/>
      <c r="AS30" s="17"/>
      <c r="AU30" s="14">
        <f>'SDR Cost Estimate (FY08)'!AU30-'B2C Cost Est (FY08)'!AU30</f>
        <v>0</v>
      </c>
      <c r="AV30" s="15">
        <f>'SDR Cost Estimate (FY08)'!AV30-'B2C Cost Est (FY08)'!AV30</f>
        <v>0</v>
      </c>
      <c r="AW30" s="14">
        <f>'SDR Cost Estimate (FY08)'!AW30-'B2C Cost Est (FY08)'!AW30</f>
        <v>0</v>
      </c>
      <c r="AX30" s="14">
        <f>'SDR Cost Estimate (FY08)'!AX30-'B2C Cost Est (FY08)'!AX30</f>
        <v>0</v>
      </c>
      <c r="AY30" s="14">
        <f>'SDR Cost Estimate (FY08)'!AY30-'B2C Cost Est (FY08)'!AY30</f>
        <v>0</v>
      </c>
      <c r="AZ30" s="14">
        <f>'SDR Cost Estimate (FY08)'!AZ30-'B2C Cost Est (FY08)'!AZ30</f>
        <v>0</v>
      </c>
      <c r="BA30" s="14">
        <f>'SDR Cost Estimate (FY08)'!BA30-'B2C Cost Est (FY08)'!BA30</f>
        <v>0</v>
      </c>
      <c r="BB30" s="14">
        <f t="shared" si="14"/>
        <v>0</v>
      </c>
      <c r="BC30" s="16"/>
      <c r="BD30" s="17"/>
    </row>
    <row r="31" spans="1:56" ht="12.75" hidden="1">
      <c r="A31" s="13">
        <v>3.6</v>
      </c>
      <c r="B31" s="13" t="s">
        <v>888</v>
      </c>
      <c r="C31" s="14">
        <f>'SDR Cost Estimate (FY08)'!C31-'B2C Cost Est (FY08)'!C31</f>
        <v>0</v>
      </c>
      <c r="D31" s="15">
        <f>'SDR Cost Estimate (FY08)'!D31-'B2C Cost Est (FY08)'!D31</f>
        <v>0</v>
      </c>
      <c r="E31" s="14">
        <f>'SDR Cost Estimate (FY08)'!E31-'B2C Cost Est (FY08)'!E31</f>
        <v>0</v>
      </c>
      <c r="F31" s="14">
        <f>'SDR Cost Estimate (FY08)'!F31-'B2C Cost Est (FY08)'!F31</f>
        <v>0</v>
      </c>
      <c r="G31" s="14">
        <f>'SDR Cost Estimate (FY08)'!G31-'B2C Cost Est (FY08)'!G31</f>
        <v>0</v>
      </c>
      <c r="H31" s="14">
        <f>'SDR Cost Estimate (FY08)'!H31-'B2C Cost Est (FY08)'!H31</f>
        <v>0</v>
      </c>
      <c r="I31" s="14">
        <f>'SDR Cost Estimate (FY08)'!I31-'B2C Cost Est (FY08)'!I31</f>
        <v>0</v>
      </c>
      <c r="J31" s="14">
        <f t="shared" si="10"/>
        <v>0</v>
      </c>
      <c r="K31" s="16"/>
      <c r="L31" s="17"/>
      <c r="N31" s="14">
        <f>'SDR Cost Estimate (FY08)'!N31-'B2C Cost Est (FY08)'!N31</f>
        <v>0</v>
      </c>
      <c r="O31" s="15">
        <f>'SDR Cost Estimate (FY08)'!O31-'B2C Cost Est (FY08)'!O31</f>
        <v>0</v>
      </c>
      <c r="P31" s="14">
        <f>'SDR Cost Estimate (FY08)'!P31-'B2C Cost Est (FY08)'!P31</f>
        <v>0</v>
      </c>
      <c r="Q31" s="14">
        <f>'SDR Cost Estimate (FY08)'!Q31-'B2C Cost Est (FY08)'!Q31</f>
        <v>0</v>
      </c>
      <c r="R31" s="14">
        <f>'SDR Cost Estimate (FY08)'!R31-'B2C Cost Est (FY08)'!R31</f>
        <v>0</v>
      </c>
      <c r="S31" s="14">
        <f>'SDR Cost Estimate (FY08)'!S31-'B2C Cost Est (FY08)'!S31</f>
        <v>0</v>
      </c>
      <c r="T31" s="14">
        <f>'SDR Cost Estimate (FY08)'!T31-'B2C Cost Est (FY08)'!T31</f>
        <v>0</v>
      </c>
      <c r="U31" s="14">
        <f t="shared" si="11"/>
        <v>0</v>
      </c>
      <c r="V31" s="16"/>
      <c r="W31" s="17"/>
      <c r="Y31" s="14">
        <f>'SDR Cost Estimate (FY08)'!Y31-'B2C Cost Est (FY08)'!Y31</f>
        <v>0</v>
      </c>
      <c r="Z31" s="15">
        <f>'SDR Cost Estimate (FY08)'!Z31-'B2C Cost Est (FY08)'!Z31</f>
        <v>0</v>
      </c>
      <c r="AA31" s="14">
        <f>'SDR Cost Estimate (FY08)'!AA31-'B2C Cost Est (FY08)'!AA31</f>
        <v>0</v>
      </c>
      <c r="AB31" s="14">
        <f>'SDR Cost Estimate (FY08)'!AB31-'B2C Cost Est (FY08)'!AB31</f>
        <v>0</v>
      </c>
      <c r="AC31" s="14">
        <f>'SDR Cost Estimate (FY08)'!AC31-'B2C Cost Est (FY08)'!AC31</f>
        <v>0</v>
      </c>
      <c r="AD31" s="14">
        <f>'SDR Cost Estimate (FY08)'!AD31-'B2C Cost Est (FY08)'!AD31</f>
        <v>0</v>
      </c>
      <c r="AE31" s="14">
        <f>'SDR Cost Estimate (FY08)'!AE31-'B2C Cost Est (FY08)'!AE31</f>
        <v>0</v>
      </c>
      <c r="AF31" s="14">
        <f t="shared" si="12"/>
        <v>0</v>
      </c>
      <c r="AG31" s="16"/>
      <c r="AH31" s="17"/>
      <c r="AJ31" s="14">
        <f>'SDR Cost Estimate (FY08)'!AJ31-'B2C Cost Est (FY08)'!AJ31</f>
        <v>0</v>
      </c>
      <c r="AK31" s="15">
        <f>'SDR Cost Estimate (FY08)'!AK31-'B2C Cost Est (FY08)'!AK31</f>
        <v>0</v>
      </c>
      <c r="AL31" s="14">
        <f>'SDR Cost Estimate (FY08)'!AL31-'B2C Cost Est (FY08)'!AL31</f>
        <v>0</v>
      </c>
      <c r="AM31" s="14">
        <f>'SDR Cost Estimate (FY08)'!AM31-'B2C Cost Est (FY08)'!AM31</f>
        <v>0</v>
      </c>
      <c r="AN31" s="14">
        <f>'SDR Cost Estimate (FY08)'!AN31-'B2C Cost Est (FY08)'!AN31</f>
        <v>0</v>
      </c>
      <c r="AO31" s="14">
        <f>'SDR Cost Estimate (FY08)'!AO31-'B2C Cost Est (FY08)'!AO31</f>
        <v>0</v>
      </c>
      <c r="AP31" s="14">
        <f>'SDR Cost Estimate (FY08)'!AP31-'B2C Cost Est (FY08)'!AP31</f>
        <v>0</v>
      </c>
      <c r="AQ31" s="14">
        <f t="shared" si="13"/>
        <v>0</v>
      </c>
      <c r="AR31" s="16"/>
      <c r="AS31" s="17"/>
      <c r="AU31" s="14">
        <f>'SDR Cost Estimate (FY08)'!AU31-'B2C Cost Est (FY08)'!AU31</f>
        <v>0</v>
      </c>
      <c r="AV31" s="15">
        <f>'SDR Cost Estimate (FY08)'!AV31-'B2C Cost Est (FY08)'!AV31</f>
        <v>0</v>
      </c>
      <c r="AW31" s="14">
        <f>'SDR Cost Estimate (FY08)'!AW31-'B2C Cost Est (FY08)'!AW31</f>
        <v>0</v>
      </c>
      <c r="AX31" s="14">
        <f>'SDR Cost Estimate (FY08)'!AX31-'B2C Cost Est (FY08)'!AX31</f>
        <v>0</v>
      </c>
      <c r="AY31" s="14">
        <f>'SDR Cost Estimate (FY08)'!AY31-'B2C Cost Est (FY08)'!AY31</f>
        <v>0</v>
      </c>
      <c r="AZ31" s="14">
        <f>'SDR Cost Estimate (FY08)'!AZ31-'B2C Cost Est (FY08)'!AZ31</f>
        <v>0</v>
      </c>
      <c r="BA31" s="14">
        <f>'SDR Cost Estimate (FY08)'!BA31-'B2C Cost Est (FY08)'!BA31</f>
        <v>0</v>
      </c>
      <c r="BB31" s="14">
        <f t="shared" si="14"/>
        <v>0</v>
      </c>
      <c r="BC31" s="16"/>
      <c r="BD31" s="17"/>
    </row>
    <row r="32" spans="1:56" ht="12.75" hidden="1">
      <c r="A32" s="13">
        <v>3.7</v>
      </c>
      <c r="B32" s="13" t="s">
        <v>889</v>
      </c>
      <c r="C32" s="14">
        <f>'SDR Cost Estimate (FY08)'!C32-'B2C Cost Est (FY08)'!C32</f>
        <v>0</v>
      </c>
      <c r="D32" s="15">
        <f>'SDR Cost Estimate (FY08)'!D32-'B2C Cost Est (FY08)'!D32</f>
        <v>0</v>
      </c>
      <c r="E32" s="14">
        <f>'SDR Cost Estimate (FY08)'!E32-'B2C Cost Est (FY08)'!E32</f>
        <v>0</v>
      </c>
      <c r="F32" s="14">
        <f>'SDR Cost Estimate (FY08)'!F32-'B2C Cost Est (FY08)'!F32</f>
        <v>0</v>
      </c>
      <c r="G32" s="14">
        <f>'SDR Cost Estimate (FY08)'!G32-'B2C Cost Est (FY08)'!G32</f>
        <v>0</v>
      </c>
      <c r="H32" s="14">
        <f>'SDR Cost Estimate (FY08)'!H32-'B2C Cost Est (FY08)'!H32</f>
        <v>0</v>
      </c>
      <c r="I32" s="14">
        <f>'SDR Cost Estimate (FY08)'!I32-'B2C Cost Est (FY08)'!I32</f>
        <v>0</v>
      </c>
      <c r="J32" s="14">
        <f t="shared" si="10"/>
        <v>0</v>
      </c>
      <c r="K32" s="16"/>
      <c r="L32" s="17"/>
      <c r="N32" s="14">
        <f>'SDR Cost Estimate (FY08)'!N32-'B2C Cost Est (FY08)'!N32</f>
        <v>0</v>
      </c>
      <c r="O32" s="15">
        <f>'SDR Cost Estimate (FY08)'!O32-'B2C Cost Est (FY08)'!O32</f>
        <v>0</v>
      </c>
      <c r="P32" s="14">
        <f>'SDR Cost Estimate (FY08)'!P32-'B2C Cost Est (FY08)'!P32</f>
        <v>0</v>
      </c>
      <c r="Q32" s="14">
        <f>'SDR Cost Estimate (FY08)'!Q32-'B2C Cost Est (FY08)'!Q32</f>
        <v>0</v>
      </c>
      <c r="R32" s="14">
        <f>'SDR Cost Estimate (FY08)'!R32-'B2C Cost Est (FY08)'!R32</f>
        <v>0</v>
      </c>
      <c r="S32" s="14">
        <f>'SDR Cost Estimate (FY08)'!S32-'B2C Cost Est (FY08)'!S32</f>
        <v>0</v>
      </c>
      <c r="T32" s="14">
        <f>'SDR Cost Estimate (FY08)'!T32-'B2C Cost Est (FY08)'!T32</f>
        <v>0</v>
      </c>
      <c r="U32" s="14">
        <f t="shared" si="11"/>
        <v>0</v>
      </c>
      <c r="V32" s="16"/>
      <c r="W32" s="17"/>
      <c r="Y32" s="14">
        <f>'SDR Cost Estimate (FY08)'!Y32-'B2C Cost Est (FY08)'!Y32</f>
        <v>0</v>
      </c>
      <c r="Z32" s="15">
        <f>'SDR Cost Estimate (FY08)'!Z32-'B2C Cost Est (FY08)'!Z32</f>
        <v>0</v>
      </c>
      <c r="AA32" s="14">
        <f>'SDR Cost Estimate (FY08)'!AA32-'B2C Cost Est (FY08)'!AA32</f>
        <v>0</v>
      </c>
      <c r="AB32" s="14">
        <f>'SDR Cost Estimate (FY08)'!AB32-'B2C Cost Est (FY08)'!AB32</f>
        <v>0</v>
      </c>
      <c r="AC32" s="14">
        <f>'SDR Cost Estimate (FY08)'!AC32-'B2C Cost Est (FY08)'!AC32</f>
        <v>0</v>
      </c>
      <c r="AD32" s="14">
        <f>'SDR Cost Estimate (FY08)'!AD32-'B2C Cost Est (FY08)'!AD32</f>
        <v>0</v>
      </c>
      <c r="AE32" s="14">
        <f>'SDR Cost Estimate (FY08)'!AE32-'B2C Cost Est (FY08)'!AE32</f>
        <v>0</v>
      </c>
      <c r="AF32" s="14">
        <f t="shared" si="12"/>
        <v>0</v>
      </c>
      <c r="AG32" s="16"/>
      <c r="AH32" s="17"/>
      <c r="AJ32" s="14">
        <f>'SDR Cost Estimate (FY08)'!AJ32-'B2C Cost Est (FY08)'!AJ32</f>
        <v>0</v>
      </c>
      <c r="AK32" s="15">
        <f>'SDR Cost Estimate (FY08)'!AK32-'B2C Cost Est (FY08)'!AK32</f>
        <v>0</v>
      </c>
      <c r="AL32" s="14">
        <f>'SDR Cost Estimate (FY08)'!AL32-'B2C Cost Est (FY08)'!AL32</f>
        <v>0</v>
      </c>
      <c r="AM32" s="14">
        <f>'SDR Cost Estimate (FY08)'!AM32-'B2C Cost Est (FY08)'!AM32</f>
        <v>0</v>
      </c>
      <c r="AN32" s="14">
        <f>'SDR Cost Estimate (FY08)'!AN32-'B2C Cost Est (FY08)'!AN32</f>
        <v>0</v>
      </c>
      <c r="AO32" s="14">
        <f>'SDR Cost Estimate (FY08)'!AO32-'B2C Cost Est (FY08)'!AO32</f>
        <v>0</v>
      </c>
      <c r="AP32" s="14">
        <f>'SDR Cost Estimate (FY08)'!AP32-'B2C Cost Est (FY08)'!AP32</f>
        <v>0</v>
      </c>
      <c r="AQ32" s="14">
        <f t="shared" si="13"/>
        <v>0</v>
      </c>
      <c r="AR32" s="16"/>
      <c r="AS32" s="17"/>
      <c r="AU32" s="14">
        <f>'SDR Cost Estimate (FY08)'!AU32-'B2C Cost Est (FY08)'!AU32</f>
        <v>0</v>
      </c>
      <c r="AV32" s="15">
        <f>'SDR Cost Estimate (FY08)'!AV32-'B2C Cost Est (FY08)'!AV32</f>
        <v>0</v>
      </c>
      <c r="AW32" s="14">
        <f>'SDR Cost Estimate (FY08)'!AW32-'B2C Cost Est (FY08)'!AW32</f>
        <v>0</v>
      </c>
      <c r="AX32" s="14">
        <f>'SDR Cost Estimate (FY08)'!AX32-'B2C Cost Est (FY08)'!AX32</f>
        <v>0</v>
      </c>
      <c r="AY32" s="14">
        <f>'SDR Cost Estimate (FY08)'!AY32-'B2C Cost Est (FY08)'!AY32</f>
        <v>0</v>
      </c>
      <c r="AZ32" s="14">
        <f>'SDR Cost Estimate (FY08)'!AZ32-'B2C Cost Est (FY08)'!AZ32</f>
        <v>0</v>
      </c>
      <c r="BA32" s="14">
        <f>'SDR Cost Estimate (FY08)'!BA32-'B2C Cost Est (FY08)'!BA32</f>
        <v>0</v>
      </c>
      <c r="BB32" s="14">
        <f t="shared" si="14"/>
        <v>0</v>
      </c>
      <c r="BC32" s="16"/>
      <c r="BD32" s="17"/>
    </row>
    <row r="33" spans="1:56" ht="12.75" hidden="1">
      <c r="A33" s="13">
        <v>3.8</v>
      </c>
      <c r="B33" s="13" t="s">
        <v>890</v>
      </c>
      <c r="C33" s="14">
        <f>'SDR Cost Estimate (FY08)'!C33-'B2C Cost Est (FY08)'!C33</f>
        <v>0</v>
      </c>
      <c r="D33" s="15">
        <f>'SDR Cost Estimate (FY08)'!D33-'B2C Cost Est (FY08)'!D33</f>
        <v>0</v>
      </c>
      <c r="E33" s="14">
        <f>'SDR Cost Estimate (FY08)'!E33-'B2C Cost Est (FY08)'!E33</f>
        <v>0</v>
      </c>
      <c r="F33" s="14">
        <f>'SDR Cost Estimate (FY08)'!F33-'B2C Cost Est (FY08)'!F33</f>
        <v>0</v>
      </c>
      <c r="G33" s="14">
        <f>'SDR Cost Estimate (FY08)'!G33-'B2C Cost Est (FY08)'!G33</f>
        <v>0</v>
      </c>
      <c r="H33" s="14">
        <f>'SDR Cost Estimate (FY08)'!H33-'B2C Cost Est (FY08)'!H33</f>
        <v>0</v>
      </c>
      <c r="I33" s="14">
        <f>'SDR Cost Estimate (FY08)'!I33-'B2C Cost Est (FY08)'!I33</f>
        <v>0</v>
      </c>
      <c r="J33" s="14">
        <f t="shared" si="10"/>
        <v>0</v>
      </c>
      <c r="K33" s="16"/>
      <c r="L33" s="17"/>
      <c r="N33" s="14">
        <f>'SDR Cost Estimate (FY08)'!N33-'B2C Cost Est (FY08)'!N33</f>
        <v>0</v>
      </c>
      <c r="O33" s="15">
        <f>'SDR Cost Estimate (FY08)'!O33-'B2C Cost Est (FY08)'!O33</f>
        <v>0</v>
      </c>
      <c r="P33" s="14">
        <f>'SDR Cost Estimate (FY08)'!P33-'B2C Cost Est (FY08)'!P33</f>
        <v>0</v>
      </c>
      <c r="Q33" s="14">
        <f>'SDR Cost Estimate (FY08)'!Q33-'B2C Cost Est (FY08)'!Q33</f>
        <v>0</v>
      </c>
      <c r="R33" s="14">
        <f>'SDR Cost Estimate (FY08)'!R33-'B2C Cost Est (FY08)'!R33</f>
        <v>0</v>
      </c>
      <c r="S33" s="14">
        <f>'SDR Cost Estimate (FY08)'!S33-'B2C Cost Est (FY08)'!S33</f>
        <v>0</v>
      </c>
      <c r="T33" s="14">
        <f>'SDR Cost Estimate (FY08)'!T33-'B2C Cost Est (FY08)'!T33</f>
        <v>0</v>
      </c>
      <c r="U33" s="14">
        <f t="shared" si="11"/>
        <v>0</v>
      </c>
      <c r="V33" s="16"/>
      <c r="W33" s="17"/>
      <c r="Y33" s="14">
        <f>'SDR Cost Estimate (FY08)'!Y33-'B2C Cost Est (FY08)'!Y33</f>
        <v>0</v>
      </c>
      <c r="Z33" s="15">
        <f>'SDR Cost Estimate (FY08)'!Z33-'B2C Cost Est (FY08)'!Z33</f>
        <v>0</v>
      </c>
      <c r="AA33" s="14">
        <f>'SDR Cost Estimate (FY08)'!AA33-'B2C Cost Est (FY08)'!AA33</f>
        <v>0</v>
      </c>
      <c r="AB33" s="14">
        <f>'SDR Cost Estimate (FY08)'!AB33-'B2C Cost Est (FY08)'!AB33</f>
        <v>0</v>
      </c>
      <c r="AC33" s="14">
        <f>'SDR Cost Estimate (FY08)'!AC33-'B2C Cost Est (FY08)'!AC33</f>
        <v>0</v>
      </c>
      <c r="AD33" s="14">
        <f>'SDR Cost Estimate (FY08)'!AD33-'B2C Cost Est (FY08)'!AD33</f>
        <v>0</v>
      </c>
      <c r="AE33" s="14">
        <f>'SDR Cost Estimate (FY08)'!AE33-'B2C Cost Est (FY08)'!AE33</f>
        <v>0</v>
      </c>
      <c r="AF33" s="14">
        <f t="shared" si="12"/>
        <v>0</v>
      </c>
      <c r="AG33" s="16"/>
      <c r="AH33" s="17"/>
      <c r="AJ33" s="14">
        <f>'SDR Cost Estimate (FY08)'!AJ33-'B2C Cost Est (FY08)'!AJ33</f>
        <v>0</v>
      </c>
      <c r="AK33" s="15">
        <f>'SDR Cost Estimate (FY08)'!AK33-'B2C Cost Est (FY08)'!AK33</f>
        <v>0</v>
      </c>
      <c r="AL33" s="14">
        <f>'SDR Cost Estimate (FY08)'!AL33-'B2C Cost Est (FY08)'!AL33</f>
        <v>0</v>
      </c>
      <c r="AM33" s="14">
        <f>'SDR Cost Estimate (FY08)'!AM33-'B2C Cost Est (FY08)'!AM33</f>
        <v>0</v>
      </c>
      <c r="AN33" s="14">
        <f>'SDR Cost Estimate (FY08)'!AN33-'B2C Cost Est (FY08)'!AN33</f>
        <v>0</v>
      </c>
      <c r="AO33" s="14">
        <f>'SDR Cost Estimate (FY08)'!AO33-'B2C Cost Est (FY08)'!AO33</f>
        <v>0</v>
      </c>
      <c r="AP33" s="14">
        <f>'SDR Cost Estimate (FY08)'!AP33-'B2C Cost Est (FY08)'!AP33</f>
        <v>0</v>
      </c>
      <c r="AQ33" s="14">
        <f t="shared" si="13"/>
        <v>0</v>
      </c>
      <c r="AR33" s="16"/>
      <c r="AS33" s="17"/>
      <c r="AU33" s="14">
        <f>'SDR Cost Estimate (FY08)'!AU33-'B2C Cost Est (FY08)'!AU33</f>
        <v>0</v>
      </c>
      <c r="AV33" s="15">
        <f>'SDR Cost Estimate (FY08)'!AV33-'B2C Cost Est (FY08)'!AV33</f>
        <v>0</v>
      </c>
      <c r="AW33" s="14">
        <f>'SDR Cost Estimate (FY08)'!AW33-'B2C Cost Est (FY08)'!AW33</f>
        <v>0</v>
      </c>
      <c r="AX33" s="14">
        <f>'SDR Cost Estimate (FY08)'!AX33-'B2C Cost Est (FY08)'!AX33</f>
        <v>0</v>
      </c>
      <c r="AY33" s="14">
        <f>'SDR Cost Estimate (FY08)'!AY33-'B2C Cost Est (FY08)'!AY33</f>
        <v>0</v>
      </c>
      <c r="AZ33" s="14">
        <f>'SDR Cost Estimate (FY08)'!AZ33-'B2C Cost Est (FY08)'!AZ33</f>
        <v>0</v>
      </c>
      <c r="BA33" s="14">
        <f>'SDR Cost Estimate (FY08)'!BA33-'B2C Cost Est (FY08)'!BA33</f>
        <v>0</v>
      </c>
      <c r="BB33" s="14">
        <f t="shared" si="14"/>
        <v>0</v>
      </c>
      <c r="BC33" s="16"/>
      <c r="BD33" s="17"/>
    </row>
    <row r="34" spans="1:56" ht="12.75" hidden="1">
      <c r="A34" s="24">
        <v>3.9</v>
      </c>
      <c r="B34" s="13" t="s">
        <v>891</v>
      </c>
      <c r="C34" s="14">
        <f>'SDR Cost Estimate (FY08)'!C34-'B2C Cost Est (FY08)'!C34</f>
        <v>0</v>
      </c>
      <c r="D34" s="15">
        <f>'SDR Cost Estimate (FY08)'!D34-'B2C Cost Est (FY08)'!D34</f>
        <v>0</v>
      </c>
      <c r="E34" s="14">
        <f>'SDR Cost Estimate (FY08)'!E34-'B2C Cost Est (FY08)'!E34</f>
        <v>0</v>
      </c>
      <c r="F34" s="14">
        <f>'SDR Cost Estimate (FY08)'!F34-'B2C Cost Est (FY08)'!F34</f>
        <v>0</v>
      </c>
      <c r="G34" s="14">
        <f>'SDR Cost Estimate (FY08)'!G34-'B2C Cost Est (FY08)'!G34</f>
        <v>108.14999999999998</v>
      </c>
      <c r="H34" s="14">
        <f>'SDR Cost Estimate (FY08)'!H34-'B2C Cost Est (FY08)'!H34</f>
        <v>0</v>
      </c>
      <c r="I34" s="14">
        <f>'SDR Cost Estimate (FY08)'!I34-'B2C Cost Est (FY08)'!I34</f>
        <v>5.407500133739497</v>
      </c>
      <c r="J34" s="14">
        <f t="shared" si="10"/>
        <v>113.55750013373947</v>
      </c>
      <c r="K34" s="16"/>
      <c r="L34" s="17"/>
      <c r="N34" s="14">
        <f>'SDR Cost Estimate (FY08)'!N34-'B2C Cost Est (FY08)'!N34</f>
        <v>0</v>
      </c>
      <c r="O34" s="15">
        <f>'SDR Cost Estimate (FY08)'!O34-'B2C Cost Est (FY08)'!O34</f>
        <v>0</v>
      </c>
      <c r="P34" s="14">
        <f>'SDR Cost Estimate (FY08)'!P34-'B2C Cost Est (FY08)'!P34</f>
        <v>0</v>
      </c>
      <c r="Q34" s="14">
        <f>'SDR Cost Estimate (FY08)'!Q34-'B2C Cost Est (FY08)'!Q34</f>
        <v>0</v>
      </c>
      <c r="R34" s="14">
        <f>'SDR Cost Estimate (FY08)'!R34-'B2C Cost Est (FY08)'!R34</f>
        <v>108.15</v>
      </c>
      <c r="S34" s="14">
        <f>'SDR Cost Estimate (FY08)'!S34-'B2C Cost Est (FY08)'!S34</f>
        <v>0</v>
      </c>
      <c r="T34" s="14">
        <f>'SDR Cost Estimate (FY08)'!T34-'B2C Cost Est (FY08)'!T34</f>
        <v>5.407500133739495</v>
      </c>
      <c r="U34" s="14">
        <f t="shared" si="11"/>
        <v>113.5575001337395</v>
      </c>
      <c r="V34" s="16"/>
      <c r="W34" s="17"/>
      <c r="Y34" s="14">
        <f>'SDR Cost Estimate (FY08)'!Y34-'B2C Cost Est (FY08)'!Y34</f>
        <v>0</v>
      </c>
      <c r="Z34" s="15">
        <f>'SDR Cost Estimate (FY08)'!Z34-'B2C Cost Est (FY08)'!Z34</f>
        <v>0</v>
      </c>
      <c r="AA34" s="14">
        <f>'SDR Cost Estimate (FY08)'!AA34-'B2C Cost Est (FY08)'!AA34</f>
        <v>0</v>
      </c>
      <c r="AB34" s="14">
        <f>'SDR Cost Estimate (FY08)'!AB34-'B2C Cost Est (FY08)'!AB34</f>
        <v>0</v>
      </c>
      <c r="AC34" s="14">
        <f>'SDR Cost Estimate (FY08)'!AC34-'B2C Cost Est (FY08)'!AC34</f>
        <v>0</v>
      </c>
      <c r="AD34" s="14">
        <f>'SDR Cost Estimate (FY08)'!AD34-'B2C Cost Est (FY08)'!AD34</f>
        <v>0</v>
      </c>
      <c r="AE34" s="14">
        <f>'SDR Cost Estimate (FY08)'!AE34-'B2C Cost Est (FY08)'!AE34</f>
        <v>0</v>
      </c>
      <c r="AF34" s="14">
        <f t="shared" si="12"/>
        <v>0</v>
      </c>
      <c r="AG34" s="16"/>
      <c r="AH34" s="17"/>
      <c r="AJ34" s="14">
        <f>'SDR Cost Estimate (FY08)'!AJ34-'B2C Cost Est (FY08)'!AJ34</f>
        <v>0</v>
      </c>
      <c r="AK34" s="15">
        <f>'SDR Cost Estimate (FY08)'!AK34-'B2C Cost Est (FY08)'!AK34</f>
        <v>0</v>
      </c>
      <c r="AL34" s="14">
        <f>'SDR Cost Estimate (FY08)'!AL34-'B2C Cost Est (FY08)'!AL34</f>
        <v>0</v>
      </c>
      <c r="AM34" s="14">
        <f>'SDR Cost Estimate (FY08)'!AM34-'B2C Cost Est (FY08)'!AM34</f>
        <v>0</v>
      </c>
      <c r="AN34" s="14">
        <f>'SDR Cost Estimate (FY08)'!AN34-'B2C Cost Est (FY08)'!AN34</f>
        <v>0</v>
      </c>
      <c r="AO34" s="14">
        <f>'SDR Cost Estimate (FY08)'!AO34-'B2C Cost Est (FY08)'!AO34</f>
        <v>0</v>
      </c>
      <c r="AP34" s="14">
        <f>'SDR Cost Estimate (FY08)'!AP34-'B2C Cost Est (FY08)'!AP34</f>
        <v>0</v>
      </c>
      <c r="AQ34" s="14">
        <f t="shared" si="13"/>
        <v>0</v>
      </c>
      <c r="AR34" s="16"/>
      <c r="AS34" s="17"/>
      <c r="AU34" s="14">
        <f>'SDR Cost Estimate (FY08)'!AU34-'B2C Cost Est (FY08)'!AU34</f>
        <v>0</v>
      </c>
      <c r="AV34" s="15">
        <f>'SDR Cost Estimate (FY08)'!AV34-'B2C Cost Est (FY08)'!AV34</f>
        <v>0</v>
      </c>
      <c r="AW34" s="14">
        <f>'SDR Cost Estimate (FY08)'!AW34-'B2C Cost Est (FY08)'!AW34</f>
        <v>0</v>
      </c>
      <c r="AX34" s="14">
        <f>'SDR Cost Estimate (FY08)'!AX34-'B2C Cost Est (FY08)'!AX34</f>
        <v>0</v>
      </c>
      <c r="AY34" s="14">
        <f>'SDR Cost Estimate (FY08)'!AY34-'B2C Cost Est (FY08)'!AY34</f>
        <v>0</v>
      </c>
      <c r="AZ34" s="14">
        <f>'SDR Cost Estimate (FY08)'!AZ34-'B2C Cost Est (FY08)'!AZ34</f>
        <v>0</v>
      </c>
      <c r="BA34" s="14">
        <f>'SDR Cost Estimate (FY08)'!BA34-'B2C Cost Est (FY08)'!BA34</f>
        <v>0</v>
      </c>
      <c r="BB34" s="14">
        <f t="shared" si="14"/>
        <v>0</v>
      </c>
      <c r="BC34" s="16"/>
      <c r="BD34" s="17"/>
    </row>
    <row r="35" spans="1:56" ht="12.75" hidden="1">
      <c r="A35" s="24" t="s">
        <v>892</v>
      </c>
      <c r="B35" s="13" t="s">
        <v>893</v>
      </c>
      <c r="C35" s="14">
        <f>'SDR Cost Estimate (FY08)'!C35-'B2C Cost Est (FY08)'!C35</f>
        <v>0</v>
      </c>
      <c r="D35" s="15">
        <f>'SDR Cost Estimate (FY08)'!D35-'B2C Cost Est (FY08)'!D35</f>
        <v>0</v>
      </c>
      <c r="E35" s="14">
        <f>'SDR Cost Estimate (FY08)'!E35-'B2C Cost Est (FY08)'!E35</f>
        <v>0</v>
      </c>
      <c r="F35" s="14">
        <f>'SDR Cost Estimate (FY08)'!F35-'B2C Cost Est (FY08)'!F35</f>
        <v>0</v>
      </c>
      <c r="G35" s="14">
        <f>'SDR Cost Estimate (FY08)'!G35-'B2C Cost Est (FY08)'!G35</f>
        <v>0</v>
      </c>
      <c r="H35" s="14">
        <f>'SDR Cost Estimate (FY08)'!H35-'B2C Cost Est (FY08)'!H35</f>
        <v>0</v>
      </c>
      <c r="I35" s="14">
        <f>'SDR Cost Estimate (FY08)'!I35-'B2C Cost Est (FY08)'!I35</f>
        <v>0</v>
      </c>
      <c r="J35" s="14">
        <f t="shared" si="10"/>
        <v>0</v>
      </c>
      <c r="K35" s="16"/>
      <c r="L35" s="17"/>
      <c r="N35" s="14">
        <f>'SDR Cost Estimate (FY08)'!N35-'B2C Cost Est (FY08)'!N35</f>
        <v>0</v>
      </c>
      <c r="O35" s="15">
        <f>'SDR Cost Estimate (FY08)'!O35-'B2C Cost Est (FY08)'!O35</f>
        <v>0</v>
      </c>
      <c r="P35" s="14">
        <f>'SDR Cost Estimate (FY08)'!P35-'B2C Cost Est (FY08)'!P35</f>
        <v>0</v>
      </c>
      <c r="Q35" s="14">
        <f>'SDR Cost Estimate (FY08)'!Q35-'B2C Cost Est (FY08)'!Q35</f>
        <v>0</v>
      </c>
      <c r="R35" s="14">
        <f>'SDR Cost Estimate (FY08)'!R35-'B2C Cost Est (FY08)'!R35</f>
        <v>0</v>
      </c>
      <c r="S35" s="14">
        <f>'SDR Cost Estimate (FY08)'!S35-'B2C Cost Est (FY08)'!S35</f>
        <v>0</v>
      </c>
      <c r="T35" s="14">
        <f>'SDR Cost Estimate (FY08)'!T35-'B2C Cost Est (FY08)'!T35</f>
        <v>0</v>
      </c>
      <c r="U35" s="14">
        <f t="shared" si="11"/>
        <v>0</v>
      </c>
      <c r="V35" s="16"/>
      <c r="W35" s="17"/>
      <c r="Y35" s="14">
        <f>'SDR Cost Estimate (FY08)'!Y35-'B2C Cost Est (FY08)'!Y35</f>
        <v>0</v>
      </c>
      <c r="Z35" s="15">
        <f>'SDR Cost Estimate (FY08)'!Z35-'B2C Cost Est (FY08)'!Z35</f>
        <v>0</v>
      </c>
      <c r="AA35" s="14">
        <f>'SDR Cost Estimate (FY08)'!AA35-'B2C Cost Est (FY08)'!AA35</f>
        <v>0</v>
      </c>
      <c r="AB35" s="14">
        <f>'SDR Cost Estimate (FY08)'!AB35-'B2C Cost Est (FY08)'!AB35</f>
        <v>0</v>
      </c>
      <c r="AC35" s="14">
        <f>'SDR Cost Estimate (FY08)'!AC35-'B2C Cost Est (FY08)'!AC35</f>
        <v>0</v>
      </c>
      <c r="AD35" s="14">
        <f>'SDR Cost Estimate (FY08)'!AD35-'B2C Cost Est (FY08)'!AD35</f>
        <v>0</v>
      </c>
      <c r="AE35" s="14">
        <f>'SDR Cost Estimate (FY08)'!AE35-'B2C Cost Est (FY08)'!AE35</f>
        <v>0</v>
      </c>
      <c r="AF35" s="14">
        <f t="shared" si="12"/>
        <v>0</v>
      </c>
      <c r="AG35" s="16"/>
      <c r="AH35" s="17"/>
      <c r="AJ35" s="14">
        <f>'SDR Cost Estimate (FY08)'!AJ35-'B2C Cost Est (FY08)'!AJ35</f>
        <v>0</v>
      </c>
      <c r="AK35" s="15">
        <f>'SDR Cost Estimate (FY08)'!AK35-'B2C Cost Est (FY08)'!AK35</f>
        <v>0</v>
      </c>
      <c r="AL35" s="14">
        <f>'SDR Cost Estimate (FY08)'!AL35-'B2C Cost Est (FY08)'!AL35</f>
        <v>0</v>
      </c>
      <c r="AM35" s="14">
        <f>'SDR Cost Estimate (FY08)'!AM35-'B2C Cost Est (FY08)'!AM35</f>
        <v>0</v>
      </c>
      <c r="AN35" s="14">
        <f>'SDR Cost Estimate (FY08)'!AN35-'B2C Cost Est (FY08)'!AN35</f>
        <v>0</v>
      </c>
      <c r="AO35" s="14">
        <f>'SDR Cost Estimate (FY08)'!AO35-'B2C Cost Est (FY08)'!AO35</f>
        <v>0</v>
      </c>
      <c r="AP35" s="14">
        <f>'SDR Cost Estimate (FY08)'!AP35-'B2C Cost Est (FY08)'!AP35</f>
        <v>0</v>
      </c>
      <c r="AQ35" s="14">
        <f t="shared" si="13"/>
        <v>0</v>
      </c>
      <c r="AR35" s="16"/>
      <c r="AS35" s="17"/>
      <c r="AU35" s="14">
        <f>'SDR Cost Estimate (FY08)'!AU35-'B2C Cost Est (FY08)'!AU35</f>
        <v>0</v>
      </c>
      <c r="AV35" s="15">
        <f>'SDR Cost Estimate (FY08)'!AV35-'B2C Cost Est (FY08)'!AV35</f>
        <v>0</v>
      </c>
      <c r="AW35" s="14">
        <f>'SDR Cost Estimate (FY08)'!AW35-'B2C Cost Est (FY08)'!AW35</f>
        <v>0</v>
      </c>
      <c r="AX35" s="14">
        <f>'SDR Cost Estimate (FY08)'!AX35-'B2C Cost Est (FY08)'!AX35</f>
        <v>0</v>
      </c>
      <c r="AY35" s="14">
        <f>'SDR Cost Estimate (FY08)'!AY35-'B2C Cost Est (FY08)'!AY35</f>
        <v>0</v>
      </c>
      <c r="AZ35" s="14">
        <f>'SDR Cost Estimate (FY08)'!AZ35-'B2C Cost Est (FY08)'!AZ35</f>
        <v>0</v>
      </c>
      <c r="BA35" s="14">
        <f>'SDR Cost Estimate (FY08)'!BA35-'B2C Cost Est (FY08)'!BA35</f>
        <v>0</v>
      </c>
      <c r="BB35" s="14">
        <f t="shared" si="14"/>
        <v>0</v>
      </c>
      <c r="BC35" s="16"/>
      <c r="BD35" s="17"/>
    </row>
    <row r="36" spans="1:56" ht="12.75" hidden="1">
      <c r="A36" s="8">
        <v>4</v>
      </c>
      <c r="B36" s="9" t="s">
        <v>894</v>
      </c>
      <c r="C36" s="10"/>
      <c r="D36" s="10"/>
      <c r="E36" s="10"/>
      <c r="F36" s="10"/>
      <c r="G36" s="10"/>
      <c r="H36" s="10"/>
      <c r="I36" s="10"/>
      <c r="J36" s="10"/>
      <c r="K36" s="11">
        <f>L36/L$108</f>
        <v>0.7416338270688059</v>
      </c>
      <c r="L36" s="12">
        <f>SUM(J37:J65)</f>
        <v>1582.346781926121</v>
      </c>
      <c r="N36" s="10"/>
      <c r="O36" s="10"/>
      <c r="P36" s="10"/>
      <c r="Q36" s="10"/>
      <c r="R36" s="10"/>
      <c r="S36" s="10"/>
      <c r="T36" s="10"/>
      <c r="U36" s="10"/>
      <c r="V36" s="10"/>
      <c r="W36" s="12">
        <f>SUM(U37:U65)</f>
        <v>33.242277675589314</v>
      </c>
      <c r="Y36" s="10"/>
      <c r="Z36" s="10"/>
      <c r="AA36" s="10"/>
      <c r="AB36" s="10"/>
      <c r="AC36" s="10"/>
      <c r="AD36" s="10"/>
      <c r="AE36" s="10"/>
      <c r="AF36" s="10"/>
      <c r="AG36" s="10"/>
      <c r="AH36" s="12">
        <f>SUM(AF37:AF65)</f>
        <v>180.56282082882137</v>
      </c>
      <c r="AJ36" s="10"/>
      <c r="AK36" s="10"/>
      <c r="AL36" s="10"/>
      <c r="AM36" s="10"/>
      <c r="AN36" s="10"/>
      <c r="AO36" s="10"/>
      <c r="AP36" s="10"/>
      <c r="AQ36" s="10"/>
      <c r="AR36" s="10"/>
      <c r="AS36" s="12">
        <f>SUM(AQ37:AQ65)</f>
        <v>1368.5416834217099</v>
      </c>
      <c r="AU36" s="10"/>
      <c r="AV36" s="10"/>
      <c r="AW36" s="10"/>
      <c r="AX36" s="10"/>
      <c r="AY36" s="10"/>
      <c r="AZ36" s="10"/>
      <c r="BA36" s="10"/>
      <c r="BB36" s="10"/>
      <c r="BC36" s="10"/>
      <c r="BD36" s="12">
        <f>SUM(BB37:BB65)</f>
        <v>0</v>
      </c>
    </row>
    <row r="37" spans="1:55" ht="12.75" hidden="1">
      <c r="A37" s="13">
        <v>4.1</v>
      </c>
      <c r="B37" s="19" t="s">
        <v>895</v>
      </c>
      <c r="C37" s="14">
        <f>'SDR Cost Estimate (FY08)'!C37-'B2C Cost Est (FY08)'!C37</f>
        <v>0</v>
      </c>
      <c r="D37" s="15">
        <f>'SDR Cost Estimate (FY08)'!D37-'B2C Cost Est (FY08)'!D37</f>
        <v>0</v>
      </c>
      <c r="E37" s="14">
        <f>'SDR Cost Estimate (FY08)'!E37-'B2C Cost Est (FY08)'!E37</f>
        <v>0</v>
      </c>
      <c r="F37" s="14">
        <f>'SDR Cost Estimate (FY08)'!F37-'B2C Cost Est (FY08)'!F37</f>
        <v>0</v>
      </c>
      <c r="G37" s="14">
        <f>'SDR Cost Estimate (FY08)'!G37-'B2C Cost Est (FY08)'!G37</f>
        <v>150</v>
      </c>
      <c r="H37" s="14">
        <f>'SDR Cost Estimate (FY08)'!H37-'B2C Cost Est (FY08)'!H37</f>
        <v>0</v>
      </c>
      <c r="I37" s="14">
        <f>'SDR Cost Estimate (FY08)'!I37-'B2C Cost Est (FY08)'!I37</f>
        <v>27.000004450162237</v>
      </c>
      <c r="J37" s="14">
        <f>SUM(F37:I37)</f>
        <v>177.00000445016224</v>
      </c>
      <c r="K37" s="16"/>
      <c r="L37" s="17"/>
      <c r="N37" s="14">
        <f>'SDR Cost Estimate (FY08)'!N37-'B2C Cost Est (FY08)'!N37</f>
        <v>0</v>
      </c>
      <c r="O37" s="15">
        <f>'SDR Cost Estimate (FY08)'!O37-'B2C Cost Est (FY08)'!O37</f>
        <v>0</v>
      </c>
      <c r="P37" s="14">
        <f>'SDR Cost Estimate (FY08)'!P37-'B2C Cost Est (FY08)'!P37</f>
        <v>0</v>
      </c>
      <c r="Q37" s="14">
        <f>'SDR Cost Estimate (FY08)'!Q37-'B2C Cost Est (FY08)'!Q37</f>
        <v>0</v>
      </c>
      <c r="R37" s="14">
        <f>'SDR Cost Estimate (FY08)'!R37-'B2C Cost Est (FY08)'!R37</f>
        <v>0</v>
      </c>
      <c r="S37" s="14">
        <f>'SDR Cost Estimate (FY08)'!S37-'B2C Cost Est (FY08)'!S37</f>
        <v>0</v>
      </c>
      <c r="T37" s="14">
        <f>'SDR Cost Estimate (FY08)'!T37-'B2C Cost Est (FY08)'!T37</f>
        <v>0</v>
      </c>
      <c r="U37" s="14">
        <f>SUM(Q37:T37)</f>
        <v>0</v>
      </c>
      <c r="V37" s="16"/>
      <c r="W37" s="17"/>
      <c r="Y37" s="14">
        <f>'SDR Cost Estimate (FY08)'!Y37-'B2C Cost Est (FY08)'!Y37</f>
        <v>0</v>
      </c>
      <c r="Z37" s="15">
        <f>'SDR Cost Estimate (FY08)'!Z37-'B2C Cost Est (FY08)'!Z37</f>
        <v>0</v>
      </c>
      <c r="AA37" s="14">
        <f>'SDR Cost Estimate (FY08)'!AA37-'B2C Cost Est (FY08)'!AA37</f>
        <v>0</v>
      </c>
      <c r="AB37" s="14">
        <f>'SDR Cost Estimate (FY08)'!AB37-'B2C Cost Est (FY08)'!AB37</f>
        <v>0</v>
      </c>
      <c r="AC37" s="14">
        <f>'SDR Cost Estimate (FY08)'!AC37-'B2C Cost Est (FY08)'!AC37</f>
        <v>0</v>
      </c>
      <c r="AD37" s="14">
        <f>'SDR Cost Estimate (FY08)'!AD37-'B2C Cost Est (FY08)'!AD37</f>
        <v>0</v>
      </c>
      <c r="AE37" s="14">
        <f>'SDR Cost Estimate (FY08)'!AE37-'B2C Cost Est (FY08)'!AE37</f>
        <v>0</v>
      </c>
      <c r="AF37" s="14">
        <f>SUM(AB37:AE37)</f>
        <v>0</v>
      </c>
      <c r="AG37" s="16"/>
      <c r="AH37" s="17"/>
      <c r="AJ37" s="14">
        <f>'SDR Cost Estimate (FY08)'!AJ37-'B2C Cost Est (FY08)'!AJ37</f>
        <v>0</v>
      </c>
      <c r="AK37" s="15">
        <f>'SDR Cost Estimate (FY08)'!AK37-'B2C Cost Est (FY08)'!AK37</f>
        <v>0</v>
      </c>
      <c r="AL37" s="14">
        <f>'SDR Cost Estimate (FY08)'!AL37-'B2C Cost Est (FY08)'!AL37</f>
        <v>0</v>
      </c>
      <c r="AM37" s="14">
        <f>'SDR Cost Estimate (FY08)'!AM37-'B2C Cost Est (FY08)'!AM37</f>
        <v>0</v>
      </c>
      <c r="AN37" s="14">
        <f>'SDR Cost Estimate (FY08)'!AN37-'B2C Cost Est (FY08)'!AN37</f>
        <v>150</v>
      </c>
      <c r="AO37" s="14">
        <f>'SDR Cost Estimate (FY08)'!AO37-'B2C Cost Est (FY08)'!AO37</f>
        <v>0</v>
      </c>
      <c r="AP37" s="14">
        <f>'SDR Cost Estimate (FY08)'!AP37-'B2C Cost Est (FY08)'!AP37</f>
        <v>27.000004450162237</v>
      </c>
      <c r="AQ37" s="14">
        <f>SUM(AM37:AP37)</f>
        <v>177.00000445016224</v>
      </c>
      <c r="AR37" s="16"/>
      <c r="AS37" s="17"/>
      <c r="AU37" s="14">
        <f>'SDR Cost Estimate (FY08)'!AU37-'B2C Cost Est (FY08)'!AU37</f>
        <v>0</v>
      </c>
      <c r="AV37" s="15">
        <f>'SDR Cost Estimate (FY08)'!AV37-'B2C Cost Est (FY08)'!AV37</f>
        <v>0</v>
      </c>
      <c r="AW37" s="14">
        <f>'SDR Cost Estimate (FY08)'!AW37-'B2C Cost Est (FY08)'!AW37</f>
        <v>0</v>
      </c>
      <c r="AX37" s="14">
        <f>'SDR Cost Estimate (FY08)'!AX37-'B2C Cost Est (FY08)'!AX37</f>
        <v>0</v>
      </c>
      <c r="AY37" s="14">
        <f>'SDR Cost Estimate (FY08)'!AY37-'B2C Cost Est (FY08)'!AY37</f>
        <v>0</v>
      </c>
      <c r="AZ37" s="14">
        <f>'SDR Cost Estimate (FY08)'!AZ37-'B2C Cost Est (FY08)'!AZ37</f>
        <v>0</v>
      </c>
      <c r="BA37" s="14">
        <f>'SDR Cost Estimate (FY08)'!BA37-'B2C Cost Est (FY08)'!BA37</f>
        <v>0</v>
      </c>
      <c r="BB37" s="14">
        <f>SUM(AX37:BA37)</f>
        <v>0</v>
      </c>
      <c r="BC37" s="16"/>
    </row>
    <row r="38" spans="1:55" ht="12.75" hidden="1">
      <c r="A38" s="13">
        <v>4.2</v>
      </c>
      <c r="B38" s="19" t="s">
        <v>896</v>
      </c>
      <c r="K38" s="22"/>
      <c r="V38" s="22"/>
      <c r="AG38" s="22"/>
      <c r="AR38" s="22"/>
      <c r="BC38" s="22"/>
    </row>
    <row r="39" spans="1:55" ht="12.75" hidden="1">
      <c r="A39" s="23" t="s">
        <v>897</v>
      </c>
      <c r="B39" s="19" t="s">
        <v>898</v>
      </c>
      <c r="C39" s="14">
        <f>'SDR Cost Estimate (FY08)'!C39-'B2C Cost Est (FY08)'!C39</f>
        <v>0</v>
      </c>
      <c r="D39" s="15">
        <f>'SDR Cost Estimate (FY08)'!D39-'B2C Cost Est (FY08)'!D39</f>
        <v>0</v>
      </c>
      <c r="E39" s="14">
        <f>'SDR Cost Estimate (FY08)'!E39-'B2C Cost Est (FY08)'!E39</f>
        <v>0</v>
      </c>
      <c r="F39" s="14">
        <f>'SDR Cost Estimate (FY08)'!F39-'B2C Cost Est (FY08)'!F39</f>
        <v>0</v>
      </c>
      <c r="G39" s="14">
        <f>'SDR Cost Estimate (FY08)'!G39-'B2C Cost Est (FY08)'!G39</f>
        <v>0</v>
      </c>
      <c r="H39" s="14">
        <f>'SDR Cost Estimate (FY08)'!H39-'B2C Cost Est (FY08)'!H39</f>
        <v>0</v>
      </c>
      <c r="I39" s="14">
        <f>'SDR Cost Estimate (FY08)'!I39-'B2C Cost Est (FY08)'!I39</f>
        <v>0</v>
      </c>
      <c r="J39" s="14">
        <f>SUM(F39:I39)</f>
        <v>0</v>
      </c>
      <c r="K39" s="16"/>
      <c r="L39" s="17"/>
      <c r="N39" s="14">
        <f>'SDR Cost Estimate (FY08)'!N39-'B2C Cost Est (FY08)'!N39</f>
        <v>0</v>
      </c>
      <c r="O39" s="15">
        <f>'SDR Cost Estimate (FY08)'!O39-'B2C Cost Est (FY08)'!O39</f>
        <v>0</v>
      </c>
      <c r="P39" s="14">
        <f>'SDR Cost Estimate (FY08)'!P39-'B2C Cost Est (FY08)'!P39</f>
        <v>0</v>
      </c>
      <c r="Q39" s="14">
        <f>'SDR Cost Estimate (FY08)'!Q39-'B2C Cost Est (FY08)'!Q39</f>
        <v>0</v>
      </c>
      <c r="R39" s="14">
        <f>'SDR Cost Estimate (FY08)'!R39-'B2C Cost Est (FY08)'!R39</f>
        <v>0</v>
      </c>
      <c r="S39" s="14">
        <f>'SDR Cost Estimate (FY08)'!S39-'B2C Cost Est (FY08)'!S39</f>
        <v>0</v>
      </c>
      <c r="T39" s="14">
        <f>'SDR Cost Estimate (FY08)'!T39-'B2C Cost Est (FY08)'!T39</f>
        <v>0</v>
      </c>
      <c r="U39" s="14">
        <f>SUM(Q39:T39)</f>
        <v>0</v>
      </c>
      <c r="V39" s="16"/>
      <c r="W39" s="17"/>
      <c r="Y39" s="14">
        <f>'SDR Cost Estimate (FY08)'!Y39-'B2C Cost Est (FY08)'!Y39</f>
        <v>0</v>
      </c>
      <c r="Z39" s="15">
        <f>'SDR Cost Estimate (FY08)'!Z39-'B2C Cost Est (FY08)'!Z39</f>
        <v>0</v>
      </c>
      <c r="AA39" s="14">
        <f>'SDR Cost Estimate (FY08)'!AA39-'B2C Cost Est (FY08)'!AA39</f>
        <v>0</v>
      </c>
      <c r="AB39" s="14">
        <f>'SDR Cost Estimate (FY08)'!AB39-'B2C Cost Est (FY08)'!AB39</f>
        <v>0</v>
      </c>
      <c r="AC39" s="14">
        <f>'SDR Cost Estimate (FY08)'!AC39-'B2C Cost Est (FY08)'!AC39</f>
        <v>0</v>
      </c>
      <c r="AD39" s="14">
        <f>'SDR Cost Estimate (FY08)'!AD39-'B2C Cost Est (FY08)'!AD39</f>
        <v>0</v>
      </c>
      <c r="AE39" s="14">
        <f>'SDR Cost Estimate (FY08)'!AE39-'B2C Cost Est (FY08)'!AE39</f>
        <v>0</v>
      </c>
      <c r="AF39" s="14">
        <f>SUM(AB39:AE39)</f>
        <v>0</v>
      </c>
      <c r="AG39" s="16"/>
      <c r="AH39" s="17"/>
      <c r="AJ39" s="14">
        <f>'SDR Cost Estimate (FY08)'!AJ39-'B2C Cost Est (FY08)'!AJ39</f>
        <v>0</v>
      </c>
      <c r="AK39" s="15">
        <f>'SDR Cost Estimate (FY08)'!AK39-'B2C Cost Est (FY08)'!AK39</f>
        <v>0</v>
      </c>
      <c r="AL39" s="14">
        <f>'SDR Cost Estimate (FY08)'!AL39-'B2C Cost Est (FY08)'!AL39</f>
        <v>0</v>
      </c>
      <c r="AM39" s="14">
        <f>'SDR Cost Estimate (FY08)'!AM39-'B2C Cost Est (FY08)'!AM39</f>
        <v>0</v>
      </c>
      <c r="AN39" s="14">
        <f>'SDR Cost Estimate (FY08)'!AN39-'B2C Cost Est (FY08)'!AN39</f>
        <v>0</v>
      </c>
      <c r="AO39" s="14">
        <f>'SDR Cost Estimate (FY08)'!AO39-'B2C Cost Est (FY08)'!AO39</f>
        <v>0</v>
      </c>
      <c r="AP39" s="14">
        <f>'SDR Cost Estimate (FY08)'!AP39-'B2C Cost Est (FY08)'!AP39</f>
        <v>0</v>
      </c>
      <c r="AQ39" s="14">
        <f>SUM(AM39:AP39)</f>
        <v>0</v>
      </c>
      <c r="AR39" s="16"/>
      <c r="AS39" s="17"/>
      <c r="AU39" s="14">
        <f>'SDR Cost Estimate (FY08)'!AU39-'B2C Cost Est (FY08)'!AU39</f>
        <v>0</v>
      </c>
      <c r="AV39" s="15">
        <f>'SDR Cost Estimate (FY08)'!AV39-'B2C Cost Est (FY08)'!AV39</f>
        <v>0</v>
      </c>
      <c r="AW39" s="14">
        <f>'SDR Cost Estimate (FY08)'!AW39-'B2C Cost Est (FY08)'!AW39</f>
        <v>0</v>
      </c>
      <c r="AX39" s="14">
        <f>'SDR Cost Estimate (FY08)'!AX39-'B2C Cost Est (FY08)'!AX39</f>
        <v>0</v>
      </c>
      <c r="AY39" s="14">
        <f>'SDR Cost Estimate (FY08)'!AY39-'B2C Cost Est (FY08)'!AY39</f>
        <v>0</v>
      </c>
      <c r="AZ39" s="14">
        <f>'SDR Cost Estimate (FY08)'!AZ39-'B2C Cost Est (FY08)'!AZ39</f>
        <v>0</v>
      </c>
      <c r="BA39" s="14">
        <f>'SDR Cost Estimate (FY08)'!BA39-'B2C Cost Est (FY08)'!BA39</f>
        <v>0</v>
      </c>
      <c r="BB39" s="14">
        <f>SUM(AX39:BA39)</f>
        <v>0</v>
      </c>
      <c r="BC39" s="16"/>
    </row>
    <row r="40" spans="1:55" ht="12.75" hidden="1">
      <c r="A40" s="23" t="s">
        <v>899</v>
      </c>
      <c r="B40" s="19" t="s">
        <v>900</v>
      </c>
      <c r="C40" s="14">
        <f>'SDR Cost Estimate (FY08)'!C40-'B2C Cost Est (FY08)'!C40</f>
        <v>0</v>
      </c>
      <c r="D40" s="15">
        <f>'SDR Cost Estimate (FY08)'!D40-'B2C Cost Est (FY08)'!D40</f>
        <v>0</v>
      </c>
      <c r="E40" s="14">
        <f>'SDR Cost Estimate (FY08)'!E40-'B2C Cost Est (FY08)'!E40</f>
        <v>0</v>
      </c>
      <c r="F40" s="14">
        <f>'SDR Cost Estimate (FY08)'!F40-'B2C Cost Est (FY08)'!F40</f>
        <v>0</v>
      </c>
      <c r="G40" s="14">
        <f>'SDR Cost Estimate (FY08)'!G40-'B2C Cost Est (FY08)'!G40</f>
        <v>0</v>
      </c>
      <c r="H40" s="14">
        <f>'SDR Cost Estimate (FY08)'!H40-'B2C Cost Est (FY08)'!H40</f>
        <v>0</v>
      </c>
      <c r="I40" s="14">
        <f>'SDR Cost Estimate (FY08)'!I40-'B2C Cost Est (FY08)'!I40</f>
        <v>0</v>
      </c>
      <c r="J40" s="14">
        <f aca="true" t="shared" si="15" ref="J40:J48">SUM(F40:I40)</f>
        <v>0</v>
      </c>
      <c r="K40" s="16"/>
      <c r="L40" s="17"/>
      <c r="N40" s="14">
        <f>'SDR Cost Estimate (FY08)'!N40-'B2C Cost Est (FY08)'!N40</f>
        <v>0</v>
      </c>
      <c r="O40" s="15">
        <f>'SDR Cost Estimate (FY08)'!O40-'B2C Cost Est (FY08)'!O40</f>
        <v>0</v>
      </c>
      <c r="P40" s="14">
        <f>'SDR Cost Estimate (FY08)'!P40-'B2C Cost Est (FY08)'!P40</f>
        <v>0</v>
      </c>
      <c r="Q40" s="14">
        <f>'SDR Cost Estimate (FY08)'!Q40-'B2C Cost Est (FY08)'!Q40</f>
        <v>0</v>
      </c>
      <c r="R40" s="14">
        <f>'SDR Cost Estimate (FY08)'!R40-'B2C Cost Est (FY08)'!R40</f>
        <v>0</v>
      </c>
      <c r="S40" s="14">
        <f>'SDR Cost Estimate (FY08)'!S40-'B2C Cost Est (FY08)'!S40</f>
        <v>0</v>
      </c>
      <c r="T40" s="14">
        <f>'SDR Cost Estimate (FY08)'!T40-'B2C Cost Est (FY08)'!T40</f>
        <v>0</v>
      </c>
      <c r="U40" s="14">
        <f aca="true" t="shared" si="16" ref="U40:U48">SUM(Q40:T40)</f>
        <v>0</v>
      </c>
      <c r="V40" s="16"/>
      <c r="W40" s="17"/>
      <c r="Y40" s="14">
        <f>'SDR Cost Estimate (FY08)'!Y40-'B2C Cost Est (FY08)'!Y40</f>
        <v>0</v>
      </c>
      <c r="Z40" s="15">
        <f>'SDR Cost Estimate (FY08)'!Z40-'B2C Cost Est (FY08)'!Z40</f>
        <v>0</v>
      </c>
      <c r="AA40" s="14">
        <f>'SDR Cost Estimate (FY08)'!AA40-'B2C Cost Est (FY08)'!AA40</f>
        <v>0</v>
      </c>
      <c r="AB40" s="14">
        <f>'SDR Cost Estimate (FY08)'!AB40-'B2C Cost Est (FY08)'!AB40</f>
        <v>0</v>
      </c>
      <c r="AC40" s="14">
        <f>'SDR Cost Estimate (FY08)'!AC40-'B2C Cost Est (FY08)'!AC40</f>
        <v>0</v>
      </c>
      <c r="AD40" s="14">
        <f>'SDR Cost Estimate (FY08)'!AD40-'B2C Cost Est (FY08)'!AD40</f>
        <v>0</v>
      </c>
      <c r="AE40" s="14">
        <f>'SDR Cost Estimate (FY08)'!AE40-'B2C Cost Est (FY08)'!AE40</f>
        <v>0</v>
      </c>
      <c r="AF40" s="14">
        <f aca="true" t="shared" si="17" ref="AF40:AF48">SUM(AB40:AE40)</f>
        <v>0</v>
      </c>
      <c r="AG40" s="16"/>
      <c r="AH40" s="17"/>
      <c r="AJ40" s="14">
        <f>'SDR Cost Estimate (FY08)'!AJ40-'B2C Cost Est (FY08)'!AJ40</f>
        <v>0</v>
      </c>
      <c r="AK40" s="15">
        <f>'SDR Cost Estimate (FY08)'!AK40-'B2C Cost Est (FY08)'!AK40</f>
        <v>0</v>
      </c>
      <c r="AL40" s="14">
        <f>'SDR Cost Estimate (FY08)'!AL40-'B2C Cost Est (FY08)'!AL40</f>
        <v>0</v>
      </c>
      <c r="AM40" s="14">
        <f>'SDR Cost Estimate (FY08)'!AM40-'B2C Cost Est (FY08)'!AM40</f>
        <v>0</v>
      </c>
      <c r="AN40" s="14">
        <f>'SDR Cost Estimate (FY08)'!AN40-'B2C Cost Est (FY08)'!AN40</f>
        <v>0</v>
      </c>
      <c r="AO40" s="14">
        <f>'SDR Cost Estimate (FY08)'!AO40-'B2C Cost Est (FY08)'!AO40</f>
        <v>0</v>
      </c>
      <c r="AP40" s="14">
        <f>'SDR Cost Estimate (FY08)'!AP40-'B2C Cost Est (FY08)'!AP40</f>
        <v>0</v>
      </c>
      <c r="AQ40" s="14">
        <f aca="true" t="shared" si="18" ref="AQ40:AQ48">SUM(AM40:AP40)</f>
        <v>0</v>
      </c>
      <c r="AR40" s="16"/>
      <c r="AS40" s="17"/>
      <c r="AU40" s="14">
        <f>'SDR Cost Estimate (FY08)'!AU40-'B2C Cost Est (FY08)'!AU40</f>
        <v>0</v>
      </c>
      <c r="AV40" s="15">
        <f>'SDR Cost Estimate (FY08)'!AV40-'B2C Cost Est (FY08)'!AV40</f>
        <v>0</v>
      </c>
      <c r="AW40" s="14">
        <f>'SDR Cost Estimate (FY08)'!AW40-'B2C Cost Est (FY08)'!AW40</f>
        <v>0</v>
      </c>
      <c r="AX40" s="14">
        <f>'SDR Cost Estimate (FY08)'!AX40-'B2C Cost Est (FY08)'!AX40</f>
        <v>0</v>
      </c>
      <c r="AY40" s="14">
        <f>'SDR Cost Estimate (FY08)'!AY40-'B2C Cost Est (FY08)'!AY40</f>
        <v>0</v>
      </c>
      <c r="AZ40" s="14">
        <f>'SDR Cost Estimate (FY08)'!AZ40-'B2C Cost Est (FY08)'!AZ40</f>
        <v>0</v>
      </c>
      <c r="BA40" s="14">
        <f>'SDR Cost Estimate (FY08)'!BA40-'B2C Cost Est (FY08)'!BA40</f>
        <v>0</v>
      </c>
      <c r="BB40" s="14">
        <f aca="true" t="shared" si="19" ref="BB40:BB48">SUM(AX40:BA40)</f>
        <v>0</v>
      </c>
      <c r="BC40" s="16"/>
    </row>
    <row r="41" spans="1:55" ht="12.75" hidden="1">
      <c r="A41" s="23" t="s">
        <v>901</v>
      </c>
      <c r="B41" s="19" t="s">
        <v>902</v>
      </c>
      <c r="C41" s="14">
        <f>'SDR Cost Estimate (FY08)'!C41-'B2C Cost Est (FY08)'!C41</f>
        <v>0</v>
      </c>
      <c r="D41" s="15">
        <f>'SDR Cost Estimate (FY08)'!D41-'B2C Cost Est (FY08)'!D41</f>
        <v>0</v>
      </c>
      <c r="E41" s="14">
        <f>'SDR Cost Estimate (FY08)'!E41-'B2C Cost Est (FY08)'!E41</f>
        <v>0</v>
      </c>
      <c r="F41" s="14">
        <f>'SDR Cost Estimate (FY08)'!F41-'B2C Cost Est (FY08)'!F41</f>
        <v>0</v>
      </c>
      <c r="G41" s="14">
        <f>'SDR Cost Estimate (FY08)'!G41-'B2C Cost Est (FY08)'!G41</f>
        <v>0</v>
      </c>
      <c r="H41" s="14">
        <f>'SDR Cost Estimate (FY08)'!H41-'B2C Cost Est (FY08)'!H41</f>
        <v>0</v>
      </c>
      <c r="I41" s="14">
        <f>'SDR Cost Estimate (FY08)'!I41-'B2C Cost Est (FY08)'!I41</f>
        <v>0</v>
      </c>
      <c r="J41" s="14">
        <f t="shared" si="15"/>
        <v>0</v>
      </c>
      <c r="K41" s="16"/>
      <c r="L41" s="17"/>
      <c r="N41" s="14">
        <f>'SDR Cost Estimate (FY08)'!N41-'B2C Cost Est (FY08)'!N41</f>
        <v>0</v>
      </c>
      <c r="O41" s="15">
        <f>'SDR Cost Estimate (FY08)'!O41-'B2C Cost Est (FY08)'!O41</f>
        <v>0</v>
      </c>
      <c r="P41" s="14">
        <f>'SDR Cost Estimate (FY08)'!P41-'B2C Cost Est (FY08)'!P41</f>
        <v>0</v>
      </c>
      <c r="Q41" s="14">
        <f>'SDR Cost Estimate (FY08)'!Q41-'B2C Cost Est (FY08)'!Q41</f>
        <v>0</v>
      </c>
      <c r="R41" s="14">
        <f>'SDR Cost Estimate (FY08)'!R41-'B2C Cost Est (FY08)'!R41</f>
        <v>0</v>
      </c>
      <c r="S41" s="14">
        <f>'SDR Cost Estimate (FY08)'!S41-'B2C Cost Est (FY08)'!S41</f>
        <v>0</v>
      </c>
      <c r="T41" s="14">
        <f>'SDR Cost Estimate (FY08)'!T41-'B2C Cost Est (FY08)'!T41</f>
        <v>0</v>
      </c>
      <c r="U41" s="14">
        <f t="shared" si="16"/>
        <v>0</v>
      </c>
      <c r="V41" s="16"/>
      <c r="W41" s="17"/>
      <c r="Y41" s="14">
        <f>'SDR Cost Estimate (FY08)'!Y41-'B2C Cost Est (FY08)'!Y41</f>
        <v>0</v>
      </c>
      <c r="Z41" s="15">
        <f>'SDR Cost Estimate (FY08)'!Z41-'B2C Cost Est (FY08)'!Z41</f>
        <v>0</v>
      </c>
      <c r="AA41" s="14">
        <f>'SDR Cost Estimate (FY08)'!AA41-'B2C Cost Est (FY08)'!AA41</f>
        <v>0</v>
      </c>
      <c r="AB41" s="14">
        <f>'SDR Cost Estimate (FY08)'!AB41-'B2C Cost Est (FY08)'!AB41</f>
        <v>0</v>
      </c>
      <c r="AC41" s="14">
        <f>'SDR Cost Estimate (FY08)'!AC41-'B2C Cost Est (FY08)'!AC41</f>
        <v>0</v>
      </c>
      <c r="AD41" s="14">
        <f>'SDR Cost Estimate (FY08)'!AD41-'B2C Cost Est (FY08)'!AD41</f>
        <v>0</v>
      </c>
      <c r="AE41" s="14">
        <f>'SDR Cost Estimate (FY08)'!AE41-'B2C Cost Est (FY08)'!AE41</f>
        <v>0</v>
      </c>
      <c r="AF41" s="14">
        <f t="shared" si="17"/>
        <v>0</v>
      </c>
      <c r="AG41" s="16"/>
      <c r="AH41" s="17"/>
      <c r="AJ41" s="14">
        <f>'SDR Cost Estimate (FY08)'!AJ41-'B2C Cost Est (FY08)'!AJ41</f>
        <v>0</v>
      </c>
      <c r="AK41" s="15">
        <f>'SDR Cost Estimate (FY08)'!AK41-'B2C Cost Est (FY08)'!AK41</f>
        <v>0</v>
      </c>
      <c r="AL41" s="14">
        <f>'SDR Cost Estimate (FY08)'!AL41-'B2C Cost Est (FY08)'!AL41</f>
        <v>0</v>
      </c>
      <c r="AM41" s="14">
        <f>'SDR Cost Estimate (FY08)'!AM41-'B2C Cost Est (FY08)'!AM41</f>
        <v>0</v>
      </c>
      <c r="AN41" s="14">
        <f>'SDR Cost Estimate (FY08)'!AN41-'B2C Cost Est (FY08)'!AN41</f>
        <v>0</v>
      </c>
      <c r="AO41" s="14">
        <f>'SDR Cost Estimate (FY08)'!AO41-'B2C Cost Est (FY08)'!AO41</f>
        <v>0</v>
      </c>
      <c r="AP41" s="14">
        <f>'SDR Cost Estimate (FY08)'!AP41-'B2C Cost Est (FY08)'!AP41</f>
        <v>0</v>
      </c>
      <c r="AQ41" s="14">
        <f t="shared" si="18"/>
        <v>0</v>
      </c>
      <c r="AR41" s="16"/>
      <c r="AS41" s="17"/>
      <c r="AU41" s="14">
        <f>'SDR Cost Estimate (FY08)'!AU41-'B2C Cost Est (FY08)'!AU41</f>
        <v>0</v>
      </c>
      <c r="AV41" s="15">
        <f>'SDR Cost Estimate (FY08)'!AV41-'B2C Cost Est (FY08)'!AV41</f>
        <v>0</v>
      </c>
      <c r="AW41" s="14">
        <f>'SDR Cost Estimate (FY08)'!AW41-'B2C Cost Est (FY08)'!AW41</f>
        <v>0</v>
      </c>
      <c r="AX41" s="14">
        <f>'SDR Cost Estimate (FY08)'!AX41-'B2C Cost Est (FY08)'!AX41</f>
        <v>0</v>
      </c>
      <c r="AY41" s="14">
        <f>'SDR Cost Estimate (FY08)'!AY41-'B2C Cost Est (FY08)'!AY41</f>
        <v>0</v>
      </c>
      <c r="AZ41" s="14">
        <f>'SDR Cost Estimate (FY08)'!AZ41-'B2C Cost Est (FY08)'!AZ41</f>
        <v>0</v>
      </c>
      <c r="BA41" s="14">
        <f>'SDR Cost Estimate (FY08)'!BA41-'B2C Cost Est (FY08)'!BA41</f>
        <v>0</v>
      </c>
      <c r="BB41" s="14">
        <f t="shared" si="19"/>
        <v>0</v>
      </c>
      <c r="BC41" s="16"/>
    </row>
    <row r="42" spans="1:55" ht="12.75" hidden="1">
      <c r="A42" s="23" t="s">
        <v>903</v>
      </c>
      <c r="B42" s="19" t="s">
        <v>904</v>
      </c>
      <c r="C42" s="14">
        <f>'SDR Cost Estimate (FY08)'!C42-'B2C Cost Est (FY08)'!C42</f>
        <v>2544</v>
      </c>
      <c r="D42" s="15">
        <f>'SDR Cost Estimate (FY08)'!D42-'B2C Cost Est (FY08)'!D42</f>
        <v>1.4133333333333336</v>
      </c>
      <c r="E42" s="14">
        <f>'SDR Cost Estimate (FY08)'!E42-'B2C Cost Est (FY08)'!E42</f>
        <v>0</v>
      </c>
      <c r="F42" s="14">
        <f>'SDR Cost Estimate (FY08)'!F42-'B2C Cost Est (FY08)'!F42</f>
        <v>149.17637333333363</v>
      </c>
      <c r="G42" s="14">
        <f>'SDR Cost Estimate (FY08)'!G42-'B2C Cost Est (FY08)'!G42</f>
        <v>191</v>
      </c>
      <c r="H42" s="14">
        <f>'SDR Cost Estimate (FY08)'!H42-'B2C Cost Est (FY08)'!H42</f>
        <v>0</v>
      </c>
      <c r="I42" s="14">
        <f>'SDR Cost Estimate (FY08)'!I42-'B2C Cost Est (FY08)'!I42</f>
        <v>102.05291820540732</v>
      </c>
      <c r="J42" s="14">
        <f t="shared" si="15"/>
        <v>442.22929153874094</v>
      </c>
      <c r="K42" s="16"/>
      <c r="L42" s="17"/>
      <c r="N42" s="14">
        <f>'SDR Cost Estimate (FY08)'!N42-'B2C Cost Est (FY08)'!N42</f>
        <v>0</v>
      </c>
      <c r="O42" s="15">
        <f>'SDR Cost Estimate (FY08)'!O42-'B2C Cost Est (FY08)'!O42</f>
        <v>0</v>
      </c>
      <c r="P42" s="14">
        <f>'SDR Cost Estimate (FY08)'!P42-'B2C Cost Est (FY08)'!P42</f>
        <v>0</v>
      </c>
      <c r="Q42" s="14">
        <f>'SDR Cost Estimate (FY08)'!Q42-'B2C Cost Est (FY08)'!Q42</f>
        <v>0</v>
      </c>
      <c r="R42" s="14">
        <f>'SDR Cost Estimate (FY08)'!R42-'B2C Cost Est (FY08)'!R42</f>
        <v>0</v>
      </c>
      <c r="S42" s="14">
        <f>'SDR Cost Estimate (FY08)'!S42-'B2C Cost Est (FY08)'!S42</f>
        <v>0</v>
      </c>
      <c r="T42" s="14">
        <f>'SDR Cost Estimate (FY08)'!T42-'B2C Cost Est (FY08)'!T42</f>
        <v>0</v>
      </c>
      <c r="U42" s="14">
        <f t="shared" si="16"/>
        <v>0</v>
      </c>
      <c r="V42" s="16"/>
      <c r="W42" s="17"/>
      <c r="Y42" s="14">
        <f>'SDR Cost Estimate (FY08)'!Y42-'B2C Cost Est (FY08)'!Y42</f>
        <v>1200</v>
      </c>
      <c r="Z42" s="15">
        <f>'SDR Cost Estimate (FY08)'!Z42-'B2C Cost Est (FY08)'!Z42</f>
        <v>0.6666666666666667</v>
      </c>
      <c r="AA42" s="14">
        <f>'SDR Cost Estimate (FY08)'!AA42-'B2C Cost Est (FY08)'!AA42</f>
        <v>0</v>
      </c>
      <c r="AB42" s="14">
        <f>'SDR Cost Estimate (FY08)'!AB42-'B2C Cost Est (FY08)'!AB42</f>
        <v>87.11066666666683</v>
      </c>
      <c r="AC42" s="14">
        <f>'SDR Cost Estimate (FY08)'!AC42-'B2C Cost Est (FY08)'!AC42</f>
        <v>0</v>
      </c>
      <c r="AD42" s="14">
        <f>'SDR Cost Estimate (FY08)'!AD42-'B2C Cost Est (FY08)'!AD42</f>
        <v>0</v>
      </c>
      <c r="AE42" s="14">
        <f>'SDR Cost Estimate (FY08)'!AE42-'B2C Cost Est (FY08)'!AE42</f>
        <v>26.133201730733493</v>
      </c>
      <c r="AF42" s="14">
        <f t="shared" si="17"/>
        <v>113.24386839740032</v>
      </c>
      <c r="AG42" s="16"/>
      <c r="AH42" s="17"/>
      <c r="AJ42" s="14">
        <f>'SDR Cost Estimate (FY08)'!AJ42-'B2C Cost Est (FY08)'!AJ42</f>
        <v>1344</v>
      </c>
      <c r="AK42" s="15">
        <f>'SDR Cost Estimate (FY08)'!AK42-'B2C Cost Est (FY08)'!AK42</f>
        <v>0.7466666666666667</v>
      </c>
      <c r="AL42" s="14">
        <f>'SDR Cost Estimate (FY08)'!AL42-'B2C Cost Est (FY08)'!AL42</f>
        <v>0</v>
      </c>
      <c r="AM42" s="14">
        <f>'SDR Cost Estimate (FY08)'!AM42-'B2C Cost Est (FY08)'!AM42</f>
        <v>62.06570666666683</v>
      </c>
      <c r="AN42" s="14">
        <f>'SDR Cost Estimate (FY08)'!AN42-'B2C Cost Est (FY08)'!AN42</f>
        <v>191</v>
      </c>
      <c r="AO42" s="14">
        <f>'SDR Cost Estimate (FY08)'!AO42-'B2C Cost Est (FY08)'!AO42</f>
        <v>0</v>
      </c>
      <c r="AP42" s="14">
        <f>'SDR Cost Estimate (FY08)'!AP42-'B2C Cost Est (FY08)'!AP42</f>
        <v>75.91971647467383</v>
      </c>
      <c r="AQ42" s="14">
        <f t="shared" si="18"/>
        <v>328.9854231413407</v>
      </c>
      <c r="AR42" s="16"/>
      <c r="AS42" s="17"/>
      <c r="AU42" s="14">
        <f>'SDR Cost Estimate (FY08)'!AU42-'B2C Cost Est (FY08)'!AU42</f>
        <v>0</v>
      </c>
      <c r="AV42" s="15">
        <f>'SDR Cost Estimate (FY08)'!AV42-'B2C Cost Est (FY08)'!AV42</f>
        <v>0</v>
      </c>
      <c r="AW42" s="14">
        <f>'SDR Cost Estimate (FY08)'!AW42-'B2C Cost Est (FY08)'!AW42</f>
        <v>0</v>
      </c>
      <c r="AX42" s="14">
        <f>'SDR Cost Estimate (FY08)'!AX42-'B2C Cost Est (FY08)'!AX42</f>
        <v>0</v>
      </c>
      <c r="AY42" s="14">
        <f>'SDR Cost Estimate (FY08)'!AY42-'B2C Cost Est (FY08)'!AY42</f>
        <v>0</v>
      </c>
      <c r="AZ42" s="14">
        <f>'SDR Cost Estimate (FY08)'!AZ42-'B2C Cost Est (FY08)'!AZ42</f>
        <v>0</v>
      </c>
      <c r="BA42" s="14">
        <f>'SDR Cost Estimate (FY08)'!BA42-'B2C Cost Est (FY08)'!BA42</f>
        <v>0</v>
      </c>
      <c r="BB42" s="14">
        <f t="shared" si="19"/>
        <v>0</v>
      </c>
      <c r="BC42" s="16"/>
    </row>
    <row r="43" spans="1:56" ht="12.75" hidden="1">
      <c r="A43" s="23" t="s">
        <v>905</v>
      </c>
      <c r="B43" s="13" t="s">
        <v>906</v>
      </c>
      <c r="C43" s="14">
        <f>'SDR Cost Estimate (FY08)'!C43-'B2C Cost Est (FY08)'!C43</f>
        <v>993.5</v>
      </c>
      <c r="D43" s="15">
        <f>'SDR Cost Estimate (FY08)'!D43-'B2C Cost Est (FY08)'!D43</f>
        <v>0.5519444444444446</v>
      </c>
      <c r="E43" s="14">
        <f>'SDR Cost Estimate (FY08)'!E43-'B2C Cost Est (FY08)'!E43</f>
        <v>0</v>
      </c>
      <c r="F43" s="14">
        <f>'SDR Cost Estimate (FY08)'!F43-'B2C Cost Est (FY08)'!F43</f>
        <v>65.50574388888845</v>
      </c>
      <c r="G43" s="14">
        <f>'SDR Cost Estimate (FY08)'!G43-'B2C Cost Est (FY08)'!G43</f>
        <v>327.21311475409834</v>
      </c>
      <c r="H43" s="14">
        <f>'SDR Cost Estimate (FY08)'!H43-'B2C Cost Est (FY08)'!H43</f>
        <v>0</v>
      </c>
      <c r="I43" s="14">
        <f>'SDR Cost Estimate (FY08)'!I43-'B2C Cost Est (FY08)'!I43</f>
        <v>169.72547651991</v>
      </c>
      <c r="J43" s="14">
        <f t="shared" si="15"/>
        <v>562.4443351628968</v>
      </c>
      <c r="K43" s="16"/>
      <c r="L43" s="17"/>
      <c r="N43" s="14">
        <f>'SDR Cost Estimate (FY08)'!N43-'B2C Cost Est (FY08)'!N43</f>
        <v>228</v>
      </c>
      <c r="O43" s="15">
        <f>'SDR Cost Estimate (FY08)'!O43-'B2C Cost Est (FY08)'!O43</f>
        <v>0.1266666666666667</v>
      </c>
      <c r="P43" s="14">
        <f>'SDR Cost Estimate (FY08)'!P43-'B2C Cost Est (FY08)'!P43</f>
        <v>0</v>
      </c>
      <c r="Q43" s="14">
        <f>'SDR Cost Estimate (FY08)'!Q43-'B2C Cost Est (FY08)'!Q43</f>
        <v>16.704213333333513</v>
      </c>
      <c r="R43" s="14">
        <f>'SDR Cost Estimate (FY08)'!R43-'B2C Cost Est (FY08)'!R43</f>
        <v>0</v>
      </c>
      <c r="S43" s="14">
        <f>'SDR Cost Estimate (FY08)'!S43-'B2C Cost Est (FY08)'!S43</f>
        <v>0</v>
      </c>
      <c r="T43" s="14">
        <f>'SDR Cost Estimate (FY08)'!T43-'B2C Cost Est (FY08)'!T43</f>
        <v>5.846474002900933</v>
      </c>
      <c r="U43" s="14">
        <f t="shared" si="16"/>
        <v>22.550687336234446</v>
      </c>
      <c r="V43" s="16"/>
      <c r="W43" s="17"/>
      <c r="Y43" s="14">
        <f>'SDR Cost Estimate (FY08)'!Y43-'B2C Cost Est (FY08)'!Y43</f>
        <v>248</v>
      </c>
      <c r="Z43" s="15">
        <f>'SDR Cost Estimate (FY08)'!Z43-'B2C Cost Est (FY08)'!Z43</f>
        <v>0.13777777777777778</v>
      </c>
      <c r="AA43" s="14">
        <f>'SDR Cost Estimate (FY08)'!AA43-'B2C Cost Est (FY08)'!AA43</f>
        <v>0</v>
      </c>
      <c r="AB43" s="14">
        <f>'SDR Cost Estimate (FY08)'!AB43-'B2C Cost Est (FY08)'!AB43</f>
        <v>17.415955555555144</v>
      </c>
      <c r="AC43" s="14">
        <f>'SDR Cost Estimate (FY08)'!AC43-'B2C Cost Est (FY08)'!AC43</f>
        <v>0</v>
      </c>
      <c r="AD43" s="14">
        <f>'SDR Cost Estimate (FY08)'!AD43-'B2C Cost Est (FY08)'!AD43</f>
        <v>0</v>
      </c>
      <c r="AE43" s="14">
        <f>'SDR Cost Estimate (FY08)'!AE43-'B2C Cost Est (FY08)'!AE43</f>
        <v>6.09558338225105</v>
      </c>
      <c r="AF43" s="14">
        <f t="shared" si="17"/>
        <v>23.511538937806193</v>
      </c>
      <c r="AG43" s="16"/>
      <c r="AH43" s="17"/>
      <c r="AJ43" s="14">
        <f>'SDR Cost Estimate (FY08)'!AJ43-'B2C Cost Est (FY08)'!AJ43</f>
        <v>517.5</v>
      </c>
      <c r="AK43" s="15">
        <f>'SDR Cost Estimate (FY08)'!AK43-'B2C Cost Est (FY08)'!AK43</f>
        <v>0.2875000000000001</v>
      </c>
      <c r="AL43" s="14">
        <f>'SDR Cost Estimate (FY08)'!AL43-'B2C Cost Est (FY08)'!AL43</f>
        <v>0</v>
      </c>
      <c r="AM43" s="14">
        <f>'SDR Cost Estimate (FY08)'!AM43-'B2C Cost Est (FY08)'!AM43</f>
        <v>31.385574999999733</v>
      </c>
      <c r="AN43" s="14">
        <f>'SDR Cost Estimate (FY08)'!AN43-'B2C Cost Est (FY08)'!AN43</f>
        <v>327.21311475409834</v>
      </c>
      <c r="AO43" s="14">
        <f>'SDR Cost Estimate (FY08)'!AO43-'B2C Cost Est (FY08)'!AO43</f>
        <v>0</v>
      </c>
      <c r="AP43" s="14">
        <f>'SDR Cost Estimate (FY08)'!AP43-'B2C Cost Est (FY08)'!AP43</f>
        <v>157.7834191347581</v>
      </c>
      <c r="AQ43" s="14">
        <f t="shared" si="18"/>
        <v>516.3821088888562</v>
      </c>
      <c r="AR43" s="16"/>
      <c r="AS43" s="17"/>
      <c r="AU43" s="14">
        <f>'SDR Cost Estimate (FY08)'!AU43-'B2C Cost Est (FY08)'!AU43</f>
        <v>0</v>
      </c>
      <c r="AV43" s="15">
        <f>'SDR Cost Estimate (FY08)'!AV43-'B2C Cost Est (FY08)'!AV43</f>
        <v>0</v>
      </c>
      <c r="AW43" s="14">
        <f>'SDR Cost Estimate (FY08)'!AW43-'B2C Cost Est (FY08)'!AW43</f>
        <v>0</v>
      </c>
      <c r="AX43" s="14">
        <f>'SDR Cost Estimate (FY08)'!AX43-'B2C Cost Est (FY08)'!AX43</f>
        <v>0</v>
      </c>
      <c r="AY43" s="14">
        <f>'SDR Cost Estimate (FY08)'!AY43-'B2C Cost Est (FY08)'!AY43</f>
        <v>0</v>
      </c>
      <c r="AZ43" s="14">
        <f>'SDR Cost Estimate (FY08)'!AZ43-'B2C Cost Est (FY08)'!AZ43</f>
        <v>0</v>
      </c>
      <c r="BA43" s="14">
        <f>'SDR Cost Estimate (FY08)'!BA43-'B2C Cost Est (FY08)'!BA43</f>
        <v>0</v>
      </c>
      <c r="BB43" s="14">
        <f t="shared" si="19"/>
        <v>0</v>
      </c>
      <c r="BC43" s="16"/>
      <c r="BD43" s="17"/>
    </row>
    <row r="44" spans="1:56" ht="12.75" hidden="1">
      <c r="A44" s="23" t="s">
        <v>907</v>
      </c>
      <c r="B44" s="13" t="s">
        <v>908</v>
      </c>
      <c r="C44" s="14">
        <f>'SDR Cost Estimate (FY08)'!C44-'B2C Cost Est (FY08)'!C44</f>
        <v>952.4000000000001</v>
      </c>
      <c r="D44" s="15">
        <f>'SDR Cost Estimate (FY08)'!D44-'B2C Cost Est (FY08)'!D44</f>
        <v>0.5291111111111111</v>
      </c>
      <c r="E44" s="14">
        <f>'SDR Cost Estimate (FY08)'!E44-'B2C Cost Est (FY08)'!E44</f>
        <v>0</v>
      </c>
      <c r="F44" s="14">
        <f>'SDR Cost Estimate (FY08)'!F44-'B2C Cost Est (FY08)'!F44</f>
        <v>54.605308000000036</v>
      </c>
      <c r="G44" s="14">
        <f>'SDR Cost Estimate (FY08)'!G44-'B2C Cost Est (FY08)'!G44</f>
        <v>80</v>
      </c>
      <c r="H44" s="14">
        <f>'SDR Cost Estimate (FY08)'!H44-'B2C Cost Est (FY08)'!H44</f>
        <v>0</v>
      </c>
      <c r="I44" s="14">
        <f>'SDR Cost Estimate (FY08)'!I44-'B2C Cost Est (FY08)'!I44</f>
        <v>30.129423552674666</v>
      </c>
      <c r="J44" s="14">
        <f t="shared" si="15"/>
        <v>164.7347315526747</v>
      </c>
      <c r="K44" s="16"/>
      <c r="L44" s="17"/>
      <c r="N44" s="14">
        <f>'SDR Cost Estimate (FY08)'!N44-'B2C Cost Est (FY08)'!N44</f>
        <v>125.59999999999997</v>
      </c>
      <c r="O44" s="15">
        <f>'SDR Cost Estimate (FY08)'!O44-'B2C Cost Est (FY08)'!O44</f>
        <v>0.06977777777777777</v>
      </c>
      <c r="P44" s="14">
        <f>'SDR Cost Estimate (FY08)'!P44-'B2C Cost Est (FY08)'!P44</f>
        <v>0</v>
      </c>
      <c r="Q44" s="14">
        <f>'SDR Cost Estimate (FY08)'!Q44-'B2C Cost Est (FY08)'!Q44</f>
        <v>7.080334666666694</v>
      </c>
      <c r="R44" s="14">
        <f>'SDR Cost Estimate (FY08)'!R44-'B2C Cost Est (FY08)'!R44</f>
        <v>0</v>
      </c>
      <c r="S44" s="14">
        <f>'SDR Cost Estimate (FY08)'!S44-'B2C Cost Est (FY08)'!S44</f>
        <v>0</v>
      </c>
      <c r="T44" s="14">
        <f>'SDR Cost Estimate (FY08)'!T44-'B2C Cost Est (FY08)'!T44</f>
        <v>1.4160670388385457</v>
      </c>
      <c r="U44" s="14">
        <f t="shared" si="16"/>
        <v>8.496401705505239</v>
      </c>
      <c r="V44" s="16"/>
      <c r="W44" s="17"/>
      <c r="Y44" s="14">
        <f>'SDR Cost Estimate (FY08)'!Y44-'B2C Cost Est (FY08)'!Y44</f>
        <v>543.6000000000001</v>
      </c>
      <c r="Z44" s="15">
        <f>'SDR Cost Estimate (FY08)'!Z44-'B2C Cost Est (FY08)'!Z44</f>
        <v>0.30200000000000005</v>
      </c>
      <c r="AA44" s="14">
        <f>'SDR Cost Estimate (FY08)'!AA44-'B2C Cost Est (FY08)'!AA44</f>
        <v>0</v>
      </c>
      <c r="AB44" s="14">
        <f>'SDR Cost Estimate (FY08)'!AB44-'B2C Cost Est (FY08)'!AB44</f>
        <v>31.543937999999997</v>
      </c>
      <c r="AC44" s="14">
        <f>'SDR Cost Estimate (FY08)'!AC44-'B2C Cost Est (FY08)'!AC44</f>
        <v>0</v>
      </c>
      <c r="AD44" s="14">
        <f>'SDR Cost Estimate (FY08)'!AD44-'B2C Cost Est (FY08)'!AD44</f>
        <v>0</v>
      </c>
      <c r="AE44" s="14">
        <f>'SDR Cost Estimate (FY08)'!AE44-'B2C Cost Est (FY08)'!AE44</f>
        <v>5.6779095920660865</v>
      </c>
      <c r="AF44" s="14">
        <f t="shared" si="17"/>
        <v>37.221847592066084</v>
      </c>
      <c r="AG44" s="16"/>
      <c r="AH44" s="17"/>
      <c r="AJ44" s="14">
        <f>'SDR Cost Estimate (FY08)'!AJ44-'B2C Cost Est (FY08)'!AJ44</f>
        <v>283.20000000000005</v>
      </c>
      <c r="AK44" s="15">
        <f>'SDR Cost Estimate (FY08)'!AK44-'B2C Cost Est (FY08)'!AK44</f>
        <v>0.15733333333333338</v>
      </c>
      <c r="AL44" s="14">
        <f>'SDR Cost Estimate (FY08)'!AL44-'B2C Cost Est (FY08)'!AL44</f>
        <v>0</v>
      </c>
      <c r="AM44" s="14">
        <f>'SDR Cost Estimate (FY08)'!AM44-'B2C Cost Est (FY08)'!AM44</f>
        <v>15.981035333333324</v>
      </c>
      <c r="AN44" s="14">
        <f>'SDR Cost Estimate (FY08)'!AN44-'B2C Cost Est (FY08)'!AN44</f>
        <v>80</v>
      </c>
      <c r="AO44" s="14">
        <f>'SDR Cost Estimate (FY08)'!AO44-'B2C Cost Est (FY08)'!AO44</f>
        <v>0</v>
      </c>
      <c r="AP44" s="14">
        <f>'SDR Cost Estimate (FY08)'!AP44-'B2C Cost Est (FY08)'!AP44</f>
        <v>23.03544692177003</v>
      </c>
      <c r="AQ44" s="14">
        <f t="shared" si="18"/>
        <v>119.01648225510336</v>
      </c>
      <c r="AR44" s="16"/>
      <c r="AS44" s="17"/>
      <c r="AU44" s="14">
        <f>'SDR Cost Estimate (FY08)'!AU44-'B2C Cost Est (FY08)'!AU44</f>
        <v>0</v>
      </c>
      <c r="AV44" s="15">
        <f>'SDR Cost Estimate (FY08)'!AV44-'B2C Cost Est (FY08)'!AV44</f>
        <v>0</v>
      </c>
      <c r="AW44" s="14">
        <f>'SDR Cost Estimate (FY08)'!AW44-'B2C Cost Est (FY08)'!AW44</f>
        <v>0</v>
      </c>
      <c r="AX44" s="14">
        <f>'SDR Cost Estimate (FY08)'!AX44-'B2C Cost Est (FY08)'!AX44</f>
        <v>0</v>
      </c>
      <c r="AY44" s="14">
        <f>'SDR Cost Estimate (FY08)'!AY44-'B2C Cost Est (FY08)'!AY44</f>
        <v>0</v>
      </c>
      <c r="AZ44" s="14">
        <f>'SDR Cost Estimate (FY08)'!AZ44-'B2C Cost Est (FY08)'!AZ44</f>
        <v>0</v>
      </c>
      <c r="BA44" s="14">
        <f>'SDR Cost Estimate (FY08)'!BA44-'B2C Cost Est (FY08)'!BA44</f>
        <v>0</v>
      </c>
      <c r="BB44" s="14">
        <f t="shared" si="19"/>
        <v>0</v>
      </c>
      <c r="BC44" s="16"/>
      <c r="BD44" s="17"/>
    </row>
    <row r="45" spans="1:56" ht="12.75" hidden="1">
      <c r="A45" s="23" t="s">
        <v>909</v>
      </c>
      <c r="B45" s="13" t="s">
        <v>910</v>
      </c>
      <c r="C45" s="14">
        <f>'SDR Cost Estimate (FY08)'!C45-'B2C Cost Est (FY08)'!C45</f>
        <v>0</v>
      </c>
      <c r="D45" s="15">
        <f>'SDR Cost Estimate (FY08)'!D45-'B2C Cost Est (FY08)'!D45</f>
        <v>0</v>
      </c>
      <c r="E45" s="14">
        <f>'SDR Cost Estimate (FY08)'!E45-'B2C Cost Est (FY08)'!E45</f>
        <v>0</v>
      </c>
      <c r="F45" s="14">
        <f>'SDR Cost Estimate (FY08)'!F45-'B2C Cost Est (FY08)'!F45</f>
        <v>0</v>
      </c>
      <c r="G45" s="14">
        <f>'SDR Cost Estimate (FY08)'!G45-'B2C Cost Est (FY08)'!G45</f>
        <v>55</v>
      </c>
      <c r="H45" s="14">
        <f>'SDR Cost Estimate (FY08)'!H45-'B2C Cost Est (FY08)'!H45</f>
        <v>0</v>
      </c>
      <c r="I45" s="14">
        <f>'SDR Cost Estimate (FY08)'!I45-'B2C Cost Est (FY08)'!I45</f>
        <v>24.19999708822536</v>
      </c>
      <c r="J45" s="14">
        <f t="shared" si="15"/>
        <v>79.19999708822536</v>
      </c>
      <c r="K45" s="16"/>
      <c r="L45" s="17"/>
      <c r="N45" s="14">
        <f>'SDR Cost Estimate (FY08)'!N45-'B2C Cost Est (FY08)'!N45</f>
        <v>0</v>
      </c>
      <c r="O45" s="15">
        <f>'SDR Cost Estimate (FY08)'!O45-'B2C Cost Est (FY08)'!O45</f>
        <v>0</v>
      </c>
      <c r="P45" s="14">
        <f>'SDR Cost Estimate (FY08)'!P45-'B2C Cost Est (FY08)'!P45</f>
        <v>0</v>
      </c>
      <c r="Q45" s="14">
        <f>'SDR Cost Estimate (FY08)'!Q45-'B2C Cost Est (FY08)'!Q45</f>
        <v>0</v>
      </c>
      <c r="R45" s="14">
        <f>'SDR Cost Estimate (FY08)'!R45-'B2C Cost Est (FY08)'!R45</f>
        <v>0</v>
      </c>
      <c r="S45" s="14">
        <f>'SDR Cost Estimate (FY08)'!S45-'B2C Cost Est (FY08)'!S45</f>
        <v>0</v>
      </c>
      <c r="T45" s="14">
        <f>'SDR Cost Estimate (FY08)'!T45-'B2C Cost Est (FY08)'!T45</f>
        <v>0</v>
      </c>
      <c r="U45" s="14">
        <f t="shared" si="16"/>
        <v>0</v>
      </c>
      <c r="V45" s="16"/>
      <c r="W45" s="17"/>
      <c r="Y45" s="14">
        <f>'SDR Cost Estimate (FY08)'!Y45-'B2C Cost Est (FY08)'!Y45</f>
        <v>0</v>
      </c>
      <c r="Z45" s="15">
        <f>'SDR Cost Estimate (FY08)'!Z45-'B2C Cost Est (FY08)'!Z45</f>
        <v>0</v>
      </c>
      <c r="AA45" s="14">
        <f>'SDR Cost Estimate (FY08)'!AA45-'B2C Cost Est (FY08)'!AA45</f>
        <v>0</v>
      </c>
      <c r="AB45" s="14">
        <f>'SDR Cost Estimate (FY08)'!AB45-'B2C Cost Est (FY08)'!AB45</f>
        <v>0</v>
      </c>
      <c r="AC45" s="14">
        <f>'SDR Cost Estimate (FY08)'!AC45-'B2C Cost Est (FY08)'!AC45</f>
        <v>0</v>
      </c>
      <c r="AD45" s="14">
        <f>'SDR Cost Estimate (FY08)'!AD45-'B2C Cost Est (FY08)'!AD45</f>
        <v>0</v>
      </c>
      <c r="AE45" s="14">
        <f>'SDR Cost Estimate (FY08)'!AE45-'B2C Cost Est (FY08)'!AE45</f>
        <v>0</v>
      </c>
      <c r="AF45" s="14">
        <f t="shared" si="17"/>
        <v>0</v>
      </c>
      <c r="AG45" s="16"/>
      <c r="AH45" s="17"/>
      <c r="AJ45" s="14">
        <f>'SDR Cost Estimate (FY08)'!AJ45-'B2C Cost Est (FY08)'!AJ45</f>
        <v>0</v>
      </c>
      <c r="AK45" s="15">
        <f>'SDR Cost Estimate (FY08)'!AK45-'B2C Cost Est (FY08)'!AK45</f>
        <v>0</v>
      </c>
      <c r="AL45" s="14">
        <f>'SDR Cost Estimate (FY08)'!AL45-'B2C Cost Est (FY08)'!AL45</f>
        <v>0</v>
      </c>
      <c r="AM45" s="14">
        <f>'SDR Cost Estimate (FY08)'!AM45-'B2C Cost Est (FY08)'!AM45</f>
        <v>0</v>
      </c>
      <c r="AN45" s="14">
        <f>'SDR Cost Estimate (FY08)'!AN45-'B2C Cost Est (FY08)'!AN45</f>
        <v>55</v>
      </c>
      <c r="AO45" s="14">
        <f>'SDR Cost Estimate (FY08)'!AO45-'B2C Cost Est (FY08)'!AO45</f>
        <v>0</v>
      </c>
      <c r="AP45" s="14">
        <f>'SDR Cost Estimate (FY08)'!AP45-'B2C Cost Est (FY08)'!AP45</f>
        <v>24.19999708822536</v>
      </c>
      <c r="AQ45" s="14">
        <f t="shared" si="18"/>
        <v>79.19999708822536</v>
      </c>
      <c r="AR45" s="16"/>
      <c r="AS45" s="17"/>
      <c r="AU45" s="14">
        <f>'SDR Cost Estimate (FY08)'!AU45-'B2C Cost Est (FY08)'!AU45</f>
        <v>0</v>
      </c>
      <c r="AV45" s="15">
        <f>'SDR Cost Estimate (FY08)'!AV45-'B2C Cost Est (FY08)'!AV45</f>
        <v>0</v>
      </c>
      <c r="AW45" s="14">
        <f>'SDR Cost Estimate (FY08)'!AW45-'B2C Cost Est (FY08)'!AW45</f>
        <v>0</v>
      </c>
      <c r="AX45" s="14">
        <f>'SDR Cost Estimate (FY08)'!AX45-'B2C Cost Est (FY08)'!AX45</f>
        <v>0</v>
      </c>
      <c r="AY45" s="14">
        <f>'SDR Cost Estimate (FY08)'!AY45-'B2C Cost Est (FY08)'!AY45</f>
        <v>0</v>
      </c>
      <c r="AZ45" s="14">
        <f>'SDR Cost Estimate (FY08)'!AZ45-'B2C Cost Est (FY08)'!AZ45</f>
        <v>0</v>
      </c>
      <c r="BA45" s="14">
        <f>'SDR Cost Estimate (FY08)'!BA45-'B2C Cost Est (FY08)'!BA45</f>
        <v>0</v>
      </c>
      <c r="BB45" s="14">
        <f t="shared" si="19"/>
        <v>0</v>
      </c>
      <c r="BC45" s="16"/>
      <c r="BD45" s="17"/>
    </row>
    <row r="46" spans="1:55" ht="12.75" hidden="1">
      <c r="A46" s="23" t="s">
        <v>911</v>
      </c>
      <c r="B46" s="19" t="s">
        <v>912</v>
      </c>
      <c r="C46" s="14">
        <f>'SDR Cost Estimate (FY08)'!C46-'B2C Cost Est (FY08)'!C46</f>
        <v>0</v>
      </c>
      <c r="D46" s="15">
        <f>'SDR Cost Estimate (FY08)'!D46-'B2C Cost Est (FY08)'!D46</f>
        <v>0</v>
      </c>
      <c r="E46" s="14">
        <f>'SDR Cost Estimate (FY08)'!E46-'B2C Cost Est (FY08)'!E46</f>
        <v>0</v>
      </c>
      <c r="F46" s="14">
        <f>'SDR Cost Estimate (FY08)'!F46-'B2C Cost Est (FY08)'!F46</f>
        <v>0</v>
      </c>
      <c r="G46" s="14">
        <f>'SDR Cost Estimate (FY08)'!G46-'B2C Cost Est (FY08)'!G46</f>
        <v>0</v>
      </c>
      <c r="H46" s="14">
        <f>'SDR Cost Estimate (FY08)'!H46-'B2C Cost Est (FY08)'!H46</f>
        <v>0</v>
      </c>
      <c r="I46" s="14">
        <f>'SDR Cost Estimate (FY08)'!I46-'B2C Cost Est (FY08)'!I46</f>
        <v>0</v>
      </c>
      <c r="J46" s="14">
        <f t="shared" si="15"/>
        <v>0</v>
      </c>
      <c r="K46" s="16"/>
      <c r="L46" s="17"/>
      <c r="N46" s="14">
        <f>'SDR Cost Estimate (FY08)'!N46-'B2C Cost Est (FY08)'!N46</f>
        <v>0</v>
      </c>
      <c r="O46" s="15">
        <f>'SDR Cost Estimate (FY08)'!O46-'B2C Cost Est (FY08)'!O46</f>
        <v>0</v>
      </c>
      <c r="P46" s="14">
        <f>'SDR Cost Estimate (FY08)'!P46-'B2C Cost Est (FY08)'!P46</f>
        <v>0</v>
      </c>
      <c r="Q46" s="14">
        <f>'SDR Cost Estimate (FY08)'!Q46-'B2C Cost Est (FY08)'!Q46</f>
        <v>0</v>
      </c>
      <c r="R46" s="14">
        <f>'SDR Cost Estimate (FY08)'!R46-'B2C Cost Est (FY08)'!R46</f>
        <v>0</v>
      </c>
      <c r="S46" s="14">
        <f>'SDR Cost Estimate (FY08)'!S46-'B2C Cost Est (FY08)'!S46</f>
        <v>0</v>
      </c>
      <c r="T46" s="14">
        <f>'SDR Cost Estimate (FY08)'!T46-'B2C Cost Est (FY08)'!T46</f>
        <v>0</v>
      </c>
      <c r="U46" s="14">
        <f t="shared" si="16"/>
        <v>0</v>
      </c>
      <c r="V46" s="16"/>
      <c r="W46" s="17"/>
      <c r="Y46" s="14">
        <f>'SDR Cost Estimate (FY08)'!Y46-'B2C Cost Est (FY08)'!Y46</f>
        <v>0</v>
      </c>
      <c r="Z46" s="15">
        <f>'SDR Cost Estimate (FY08)'!Z46-'B2C Cost Est (FY08)'!Z46</f>
        <v>0</v>
      </c>
      <c r="AA46" s="14">
        <f>'SDR Cost Estimate (FY08)'!AA46-'B2C Cost Est (FY08)'!AA46</f>
        <v>0</v>
      </c>
      <c r="AB46" s="14">
        <f>'SDR Cost Estimate (FY08)'!AB46-'B2C Cost Est (FY08)'!AB46</f>
        <v>0</v>
      </c>
      <c r="AC46" s="14">
        <f>'SDR Cost Estimate (FY08)'!AC46-'B2C Cost Est (FY08)'!AC46</f>
        <v>0</v>
      </c>
      <c r="AD46" s="14">
        <f>'SDR Cost Estimate (FY08)'!AD46-'B2C Cost Est (FY08)'!AD46</f>
        <v>0</v>
      </c>
      <c r="AE46" s="14">
        <f>'SDR Cost Estimate (FY08)'!AE46-'B2C Cost Est (FY08)'!AE46</f>
        <v>0</v>
      </c>
      <c r="AF46" s="14">
        <f t="shared" si="17"/>
        <v>0</v>
      </c>
      <c r="AG46" s="16"/>
      <c r="AH46" s="17"/>
      <c r="AJ46" s="14">
        <f>'SDR Cost Estimate (FY08)'!AJ46-'B2C Cost Est (FY08)'!AJ46</f>
        <v>0</v>
      </c>
      <c r="AK46" s="15">
        <f>'SDR Cost Estimate (FY08)'!AK46-'B2C Cost Est (FY08)'!AK46</f>
        <v>0</v>
      </c>
      <c r="AL46" s="14">
        <f>'SDR Cost Estimate (FY08)'!AL46-'B2C Cost Est (FY08)'!AL46</f>
        <v>0</v>
      </c>
      <c r="AM46" s="14">
        <f>'SDR Cost Estimate (FY08)'!AM46-'B2C Cost Est (FY08)'!AM46</f>
        <v>0</v>
      </c>
      <c r="AN46" s="14">
        <f>'SDR Cost Estimate (FY08)'!AN46-'B2C Cost Est (FY08)'!AN46</f>
        <v>0</v>
      </c>
      <c r="AO46" s="14">
        <f>'SDR Cost Estimate (FY08)'!AO46-'B2C Cost Est (FY08)'!AO46</f>
        <v>0</v>
      </c>
      <c r="AP46" s="14">
        <f>'SDR Cost Estimate (FY08)'!AP46-'B2C Cost Est (FY08)'!AP46</f>
        <v>0</v>
      </c>
      <c r="AQ46" s="14">
        <f t="shared" si="18"/>
        <v>0</v>
      </c>
      <c r="AR46" s="16"/>
      <c r="AS46" s="17"/>
      <c r="AU46" s="14">
        <f>'SDR Cost Estimate (FY08)'!AU46-'B2C Cost Est (FY08)'!AU46</f>
        <v>0</v>
      </c>
      <c r="AV46" s="15">
        <f>'SDR Cost Estimate (FY08)'!AV46-'B2C Cost Est (FY08)'!AV46</f>
        <v>0</v>
      </c>
      <c r="AW46" s="14">
        <f>'SDR Cost Estimate (FY08)'!AW46-'B2C Cost Est (FY08)'!AW46</f>
        <v>0</v>
      </c>
      <c r="AX46" s="14">
        <f>'SDR Cost Estimate (FY08)'!AX46-'B2C Cost Est (FY08)'!AX46</f>
        <v>0</v>
      </c>
      <c r="AY46" s="14">
        <f>'SDR Cost Estimate (FY08)'!AY46-'B2C Cost Est (FY08)'!AY46</f>
        <v>0</v>
      </c>
      <c r="AZ46" s="14">
        <f>'SDR Cost Estimate (FY08)'!AZ46-'B2C Cost Est (FY08)'!AZ46</f>
        <v>0</v>
      </c>
      <c r="BA46" s="14">
        <f>'SDR Cost Estimate (FY08)'!BA46-'B2C Cost Est (FY08)'!BA46</f>
        <v>0</v>
      </c>
      <c r="BB46" s="14">
        <f t="shared" si="19"/>
        <v>0</v>
      </c>
      <c r="BC46" s="16"/>
    </row>
    <row r="47" spans="1:55" ht="12.75" hidden="1">
      <c r="A47" s="23" t="s">
        <v>913</v>
      </c>
      <c r="B47" s="13" t="s">
        <v>914</v>
      </c>
      <c r="C47" s="14">
        <f>'SDR Cost Estimate (FY08)'!C47-'B2C Cost Est (FY08)'!C47</f>
        <v>0</v>
      </c>
      <c r="D47" s="15">
        <f>'SDR Cost Estimate (FY08)'!D47-'B2C Cost Est (FY08)'!D47</f>
        <v>0</v>
      </c>
      <c r="E47" s="14">
        <f>'SDR Cost Estimate (FY08)'!E47-'B2C Cost Est (FY08)'!E47</f>
        <v>0</v>
      </c>
      <c r="F47" s="14">
        <f>'SDR Cost Estimate (FY08)'!F47-'B2C Cost Est (FY08)'!F47</f>
        <v>0</v>
      </c>
      <c r="G47" s="14">
        <f>'SDR Cost Estimate (FY08)'!G47-'B2C Cost Est (FY08)'!G47</f>
        <v>0</v>
      </c>
      <c r="H47" s="14">
        <f>'SDR Cost Estimate (FY08)'!H47-'B2C Cost Est (FY08)'!H47</f>
        <v>0</v>
      </c>
      <c r="I47" s="14">
        <f>'SDR Cost Estimate (FY08)'!I47-'B2C Cost Est (FY08)'!I47</f>
        <v>0</v>
      </c>
      <c r="J47" s="14">
        <f t="shared" si="15"/>
        <v>0</v>
      </c>
      <c r="K47" s="16"/>
      <c r="L47" s="17"/>
      <c r="N47" s="14">
        <f>'SDR Cost Estimate (FY08)'!N47-'B2C Cost Est (FY08)'!N47</f>
        <v>0</v>
      </c>
      <c r="O47" s="15">
        <f>'SDR Cost Estimate (FY08)'!O47-'B2C Cost Est (FY08)'!O47</f>
        <v>0</v>
      </c>
      <c r="P47" s="14">
        <f>'SDR Cost Estimate (FY08)'!P47-'B2C Cost Est (FY08)'!P47</f>
        <v>0</v>
      </c>
      <c r="Q47" s="14">
        <f>'SDR Cost Estimate (FY08)'!Q47-'B2C Cost Est (FY08)'!Q47</f>
        <v>0</v>
      </c>
      <c r="R47" s="14">
        <f>'SDR Cost Estimate (FY08)'!R47-'B2C Cost Est (FY08)'!R47</f>
        <v>0</v>
      </c>
      <c r="S47" s="14">
        <f>'SDR Cost Estimate (FY08)'!S47-'B2C Cost Est (FY08)'!S47</f>
        <v>0</v>
      </c>
      <c r="T47" s="14">
        <f>'SDR Cost Estimate (FY08)'!T47-'B2C Cost Est (FY08)'!T47</f>
        <v>0</v>
      </c>
      <c r="U47" s="14">
        <f t="shared" si="16"/>
        <v>0</v>
      </c>
      <c r="V47" s="16"/>
      <c r="W47" s="17"/>
      <c r="Y47" s="14">
        <f>'SDR Cost Estimate (FY08)'!Y47-'B2C Cost Est (FY08)'!Y47</f>
        <v>0</v>
      </c>
      <c r="Z47" s="15">
        <f>'SDR Cost Estimate (FY08)'!Z47-'B2C Cost Est (FY08)'!Z47</f>
        <v>0</v>
      </c>
      <c r="AA47" s="14">
        <f>'SDR Cost Estimate (FY08)'!AA47-'B2C Cost Est (FY08)'!AA47</f>
        <v>0</v>
      </c>
      <c r="AB47" s="14">
        <f>'SDR Cost Estimate (FY08)'!AB47-'B2C Cost Est (FY08)'!AB47</f>
        <v>0</v>
      </c>
      <c r="AC47" s="14">
        <f>'SDR Cost Estimate (FY08)'!AC47-'B2C Cost Est (FY08)'!AC47</f>
        <v>0</v>
      </c>
      <c r="AD47" s="14">
        <f>'SDR Cost Estimate (FY08)'!AD47-'B2C Cost Est (FY08)'!AD47</f>
        <v>0</v>
      </c>
      <c r="AE47" s="14">
        <f>'SDR Cost Estimate (FY08)'!AE47-'B2C Cost Est (FY08)'!AE47</f>
        <v>0</v>
      </c>
      <c r="AF47" s="14">
        <f t="shared" si="17"/>
        <v>0</v>
      </c>
      <c r="AG47" s="16"/>
      <c r="AH47" s="17"/>
      <c r="AJ47" s="14">
        <f>'SDR Cost Estimate (FY08)'!AJ47-'B2C Cost Est (FY08)'!AJ47</f>
        <v>0</v>
      </c>
      <c r="AK47" s="15">
        <f>'SDR Cost Estimate (FY08)'!AK47-'B2C Cost Est (FY08)'!AK47</f>
        <v>0</v>
      </c>
      <c r="AL47" s="14">
        <f>'SDR Cost Estimate (FY08)'!AL47-'B2C Cost Est (FY08)'!AL47</f>
        <v>0</v>
      </c>
      <c r="AM47" s="14">
        <f>'SDR Cost Estimate (FY08)'!AM47-'B2C Cost Est (FY08)'!AM47</f>
        <v>0</v>
      </c>
      <c r="AN47" s="14">
        <f>'SDR Cost Estimate (FY08)'!AN47-'B2C Cost Est (FY08)'!AN47</f>
        <v>0</v>
      </c>
      <c r="AO47" s="14">
        <f>'SDR Cost Estimate (FY08)'!AO47-'B2C Cost Est (FY08)'!AO47</f>
        <v>0</v>
      </c>
      <c r="AP47" s="14">
        <f>'SDR Cost Estimate (FY08)'!AP47-'B2C Cost Est (FY08)'!AP47</f>
        <v>0</v>
      </c>
      <c r="AQ47" s="14">
        <f t="shared" si="18"/>
        <v>0</v>
      </c>
      <c r="AR47" s="16"/>
      <c r="AS47" s="17"/>
      <c r="AU47" s="14">
        <f>'SDR Cost Estimate (FY08)'!AU47-'B2C Cost Est (FY08)'!AU47</f>
        <v>0</v>
      </c>
      <c r="AV47" s="15">
        <f>'SDR Cost Estimate (FY08)'!AV47-'B2C Cost Est (FY08)'!AV47</f>
        <v>0</v>
      </c>
      <c r="AW47" s="14">
        <f>'SDR Cost Estimate (FY08)'!AW47-'B2C Cost Est (FY08)'!AW47</f>
        <v>0</v>
      </c>
      <c r="AX47" s="14">
        <f>'SDR Cost Estimate (FY08)'!AX47-'B2C Cost Est (FY08)'!AX47</f>
        <v>0</v>
      </c>
      <c r="AY47" s="14">
        <f>'SDR Cost Estimate (FY08)'!AY47-'B2C Cost Est (FY08)'!AY47</f>
        <v>0</v>
      </c>
      <c r="AZ47" s="14">
        <f>'SDR Cost Estimate (FY08)'!AZ47-'B2C Cost Est (FY08)'!AZ47</f>
        <v>0</v>
      </c>
      <c r="BA47" s="14">
        <f>'SDR Cost Estimate (FY08)'!BA47-'B2C Cost Est (FY08)'!BA47</f>
        <v>0</v>
      </c>
      <c r="BB47" s="14">
        <f t="shared" si="19"/>
        <v>0</v>
      </c>
      <c r="BC47" s="16"/>
    </row>
    <row r="48" spans="1:55" ht="12.75" hidden="1">
      <c r="A48" s="23" t="s">
        <v>915</v>
      </c>
      <c r="B48" s="19" t="s">
        <v>916</v>
      </c>
      <c r="C48" s="14">
        <f>'SDR Cost Estimate (FY08)'!C48-'B2C Cost Est (FY08)'!C48</f>
        <v>864</v>
      </c>
      <c r="D48" s="15">
        <f>'SDR Cost Estimate (FY08)'!D48-'B2C Cost Est (FY08)'!D48</f>
        <v>0.48</v>
      </c>
      <c r="E48" s="14">
        <f>'SDR Cost Estimate (FY08)'!E48-'B2C Cost Est (FY08)'!E48</f>
        <v>0</v>
      </c>
      <c r="F48" s="14">
        <f>'SDR Cost Estimate (FY08)'!F48-'B2C Cost Est (FY08)'!F48</f>
        <v>42.01237333333336</v>
      </c>
      <c r="G48" s="14">
        <f>'SDR Cost Estimate (FY08)'!G48-'B2C Cost Est (FY08)'!G48</f>
        <v>0</v>
      </c>
      <c r="H48" s="14">
        <f>'SDR Cost Estimate (FY08)'!H48-'B2C Cost Est (FY08)'!H48</f>
        <v>0</v>
      </c>
      <c r="I48" s="14">
        <f>'SDR Cost Estimate (FY08)'!I48-'B2C Cost Est (FY08)'!I48</f>
        <v>10.923215452149456</v>
      </c>
      <c r="J48" s="14">
        <f t="shared" si="15"/>
        <v>52.935588785482814</v>
      </c>
      <c r="K48" s="16"/>
      <c r="L48" s="17"/>
      <c r="N48" s="14">
        <f>'SDR Cost Estimate (FY08)'!N48-'B2C Cost Est (FY08)'!N48</f>
        <v>24</v>
      </c>
      <c r="O48" s="15">
        <f>'SDR Cost Estimate (FY08)'!O48-'B2C Cost Est (FY08)'!O48</f>
        <v>0.013333333333333336</v>
      </c>
      <c r="P48" s="14">
        <f>'SDR Cost Estimate (FY08)'!P48-'B2C Cost Est (FY08)'!P48</f>
        <v>0</v>
      </c>
      <c r="Q48" s="14">
        <f>'SDR Cost Estimate (FY08)'!Q48-'B2C Cost Est (FY08)'!Q48</f>
        <v>1.7422133333333623</v>
      </c>
      <c r="R48" s="14">
        <f>'SDR Cost Estimate (FY08)'!R48-'B2C Cost Est (FY08)'!R48</f>
        <v>0</v>
      </c>
      <c r="S48" s="14">
        <f>'SDR Cost Estimate (FY08)'!S48-'B2C Cost Est (FY08)'!S48</f>
        <v>0</v>
      </c>
      <c r="T48" s="14">
        <f>'SDR Cost Estimate (FY08)'!T48-'B2C Cost Est (FY08)'!T48</f>
        <v>0.4529753005162638</v>
      </c>
      <c r="U48" s="14">
        <f t="shared" si="16"/>
        <v>2.195188633849626</v>
      </c>
      <c r="V48" s="16"/>
      <c r="W48" s="17"/>
      <c r="Y48" s="14">
        <f>'SDR Cost Estimate (FY08)'!Y48-'B2C Cost Est (FY08)'!Y48</f>
        <v>72</v>
      </c>
      <c r="Z48" s="15">
        <f>'SDR Cost Estimate (FY08)'!Z48-'B2C Cost Est (FY08)'!Z48</f>
        <v>0.040000000000000036</v>
      </c>
      <c r="AA48" s="14">
        <f>'SDR Cost Estimate (FY08)'!AA48-'B2C Cost Est (FY08)'!AA48</f>
        <v>0</v>
      </c>
      <c r="AB48" s="14">
        <f>'SDR Cost Estimate (FY08)'!AB48-'B2C Cost Est (FY08)'!AB48</f>
        <v>5.226639999999996</v>
      </c>
      <c r="AC48" s="14">
        <f>'SDR Cost Estimate (FY08)'!AC48-'B2C Cost Est (FY08)'!AC48</f>
        <v>0</v>
      </c>
      <c r="AD48" s="14">
        <f>'SDR Cost Estimate (FY08)'!AD48-'B2C Cost Est (FY08)'!AD48</f>
        <v>0</v>
      </c>
      <c r="AE48" s="14">
        <f>'SDR Cost Estimate (FY08)'!AE48-'B2C Cost Est (FY08)'!AE48</f>
        <v>1.3589259015487638</v>
      </c>
      <c r="AF48" s="14">
        <f t="shared" si="17"/>
        <v>6.58556590154876</v>
      </c>
      <c r="AG48" s="16"/>
      <c r="AH48" s="17"/>
      <c r="AJ48" s="14">
        <f>'SDR Cost Estimate (FY08)'!AJ48-'B2C Cost Est (FY08)'!AJ48</f>
        <v>768</v>
      </c>
      <c r="AK48" s="15">
        <f>'SDR Cost Estimate (FY08)'!AK48-'B2C Cost Est (FY08)'!AK48</f>
        <v>0.4266666666666667</v>
      </c>
      <c r="AL48" s="14">
        <f>'SDR Cost Estimate (FY08)'!AL48-'B2C Cost Est (FY08)'!AL48</f>
        <v>0</v>
      </c>
      <c r="AM48" s="14">
        <f>'SDR Cost Estimate (FY08)'!AM48-'B2C Cost Est (FY08)'!AM48</f>
        <v>35.04351999999999</v>
      </c>
      <c r="AN48" s="14">
        <f>'SDR Cost Estimate (FY08)'!AN48-'B2C Cost Est (FY08)'!AN48</f>
        <v>0</v>
      </c>
      <c r="AO48" s="14">
        <f>'SDR Cost Estimate (FY08)'!AO48-'B2C Cost Est (FY08)'!AO48</f>
        <v>0</v>
      </c>
      <c r="AP48" s="14">
        <f>'SDR Cost Estimate (FY08)'!AP48-'B2C Cost Est (FY08)'!AP48</f>
        <v>9.11131425008443</v>
      </c>
      <c r="AQ48" s="14">
        <f t="shared" si="18"/>
        <v>44.15483425008442</v>
      </c>
      <c r="AR48" s="16"/>
      <c r="AS48" s="17"/>
      <c r="AU48" s="14">
        <f>'SDR Cost Estimate (FY08)'!AU48-'B2C Cost Est (FY08)'!AU48</f>
        <v>0</v>
      </c>
      <c r="AV48" s="15">
        <f>'SDR Cost Estimate (FY08)'!AV48-'B2C Cost Est (FY08)'!AV48</f>
        <v>0</v>
      </c>
      <c r="AW48" s="14">
        <f>'SDR Cost Estimate (FY08)'!AW48-'B2C Cost Est (FY08)'!AW48</f>
        <v>0</v>
      </c>
      <c r="AX48" s="14">
        <f>'SDR Cost Estimate (FY08)'!AX48-'B2C Cost Est (FY08)'!AX48</f>
        <v>0</v>
      </c>
      <c r="AY48" s="14">
        <f>'SDR Cost Estimate (FY08)'!AY48-'B2C Cost Est (FY08)'!AY48</f>
        <v>0</v>
      </c>
      <c r="AZ48" s="14">
        <f>'SDR Cost Estimate (FY08)'!AZ48-'B2C Cost Est (FY08)'!AZ48</f>
        <v>0</v>
      </c>
      <c r="BA48" s="14">
        <f>'SDR Cost Estimate (FY08)'!BA48-'B2C Cost Est (FY08)'!BA48</f>
        <v>0</v>
      </c>
      <c r="BB48" s="14">
        <f t="shared" si="19"/>
        <v>0</v>
      </c>
      <c r="BC48" s="16"/>
    </row>
    <row r="49" spans="1:55" ht="12.75" hidden="1">
      <c r="A49" s="23">
        <v>4.3</v>
      </c>
      <c r="B49" s="19" t="s">
        <v>917</v>
      </c>
      <c r="K49" s="22"/>
      <c r="V49" s="22"/>
      <c r="AG49" s="22"/>
      <c r="AR49" s="22"/>
      <c r="BC49" s="22"/>
    </row>
    <row r="50" spans="1:55" ht="12.75" hidden="1">
      <c r="A50" s="23" t="s">
        <v>918</v>
      </c>
      <c r="B50" s="19" t="s">
        <v>919</v>
      </c>
      <c r="C50" s="14">
        <f>'SDR Cost Estimate (FY08)'!C50-'B2C Cost Est (FY08)'!C50</f>
        <v>0</v>
      </c>
      <c r="D50" s="15">
        <f>'SDR Cost Estimate (FY08)'!D50-'B2C Cost Est (FY08)'!D50</f>
        <v>0</v>
      </c>
      <c r="E50" s="14">
        <f>'SDR Cost Estimate (FY08)'!E50-'B2C Cost Est (FY08)'!E50</f>
        <v>0</v>
      </c>
      <c r="F50" s="14">
        <f>'SDR Cost Estimate (FY08)'!F50-'B2C Cost Est (FY08)'!F50</f>
        <v>0</v>
      </c>
      <c r="G50" s="14">
        <f>'SDR Cost Estimate (FY08)'!G50-'B2C Cost Est (FY08)'!G50</f>
        <v>0</v>
      </c>
      <c r="H50" s="14">
        <f>'SDR Cost Estimate (FY08)'!H50-'B2C Cost Est (FY08)'!H50</f>
        <v>0</v>
      </c>
      <c r="I50" s="14">
        <f>'SDR Cost Estimate (FY08)'!I50-'B2C Cost Est (FY08)'!I50</f>
        <v>0</v>
      </c>
      <c r="J50" s="14">
        <f>SUM(F50:I50)</f>
        <v>0</v>
      </c>
      <c r="K50" s="16"/>
      <c r="L50" s="17"/>
      <c r="N50" s="14">
        <f>'SDR Cost Estimate (FY08)'!N50-'B2C Cost Est (FY08)'!N50</f>
        <v>0</v>
      </c>
      <c r="O50" s="15">
        <f>'SDR Cost Estimate (FY08)'!O50-'B2C Cost Est (FY08)'!O50</f>
        <v>0</v>
      </c>
      <c r="P50" s="14">
        <f>'SDR Cost Estimate (FY08)'!P50-'B2C Cost Est (FY08)'!P50</f>
        <v>0</v>
      </c>
      <c r="Q50" s="14">
        <f>'SDR Cost Estimate (FY08)'!Q50-'B2C Cost Est (FY08)'!Q50</f>
        <v>0</v>
      </c>
      <c r="R50" s="14">
        <f>'SDR Cost Estimate (FY08)'!R50-'B2C Cost Est (FY08)'!R50</f>
        <v>0</v>
      </c>
      <c r="S50" s="14">
        <f>'SDR Cost Estimate (FY08)'!S50-'B2C Cost Est (FY08)'!S50</f>
        <v>0</v>
      </c>
      <c r="T50" s="14">
        <f>'SDR Cost Estimate (FY08)'!T50-'B2C Cost Est (FY08)'!T50</f>
        <v>0</v>
      </c>
      <c r="U50" s="14">
        <f>SUM(Q50:T50)</f>
        <v>0</v>
      </c>
      <c r="V50" s="16"/>
      <c r="W50" s="17"/>
      <c r="Y50" s="14">
        <f>'SDR Cost Estimate (FY08)'!Y50-'B2C Cost Est (FY08)'!Y50</f>
        <v>0</v>
      </c>
      <c r="Z50" s="15">
        <f>'SDR Cost Estimate (FY08)'!Z50-'B2C Cost Est (FY08)'!Z50</f>
        <v>0</v>
      </c>
      <c r="AA50" s="14">
        <f>'SDR Cost Estimate (FY08)'!AA50-'B2C Cost Est (FY08)'!AA50</f>
        <v>0</v>
      </c>
      <c r="AB50" s="14">
        <f>'SDR Cost Estimate (FY08)'!AB50-'B2C Cost Est (FY08)'!AB50</f>
        <v>0</v>
      </c>
      <c r="AC50" s="14">
        <f>'SDR Cost Estimate (FY08)'!AC50-'B2C Cost Est (FY08)'!AC50</f>
        <v>0</v>
      </c>
      <c r="AD50" s="14">
        <f>'SDR Cost Estimate (FY08)'!AD50-'B2C Cost Est (FY08)'!AD50</f>
        <v>0</v>
      </c>
      <c r="AE50" s="14">
        <f>'SDR Cost Estimate (FY08)'!AE50-'B2C Cost Est (FY08)'!AE50</f>
        <v>0</v>
      </c>
      <c r="AF50" s="14">
        <f>SUM(AB50:AE50)</f>
        <v>0</v>
      </c>
      <c r="AG50" s="16"/>
      <c r="AH50" s="17"/>
      <c r="AJ50" s="14">
        <f>'SDR Cost Estimate (FY08)'!AJ50-'B2C Cost Est (FY08)'!AJ50</f>
        <v>0</v>
      </c>
      <c r="AK50" s="15">
        <f>'SDR Cost Estimate (FY08)'!AK50-'B2C Cost Est (FY08)'!AK50</f>
        <v>0</v>
      </c>
      <c r="AL50" s="14">
        <f>'SDR Cost Estimate (FY08)'!AL50-'B2C Cost Est (FY08)'!AL50</f>
        <v>0</v>
      </c>
      <c r="AM50" s="14">
        <f>'SDR Cost Estimate (FY08)'!AM50-'B2C Cost Est (FY08)'!AM50</f>
        <v>0</v>
      </c>
      <c r="AN50" s="14">
        <f>'SDR Cost Estimate (FY08)'!AN50-'B2C Cost Est (FY08)'!AN50</f>
        <v>0</v>
      </c>
      <c r="AO50" s="14">
        <f>'SDR Cost Estimate (FY08)'!AO50-'B2C Cost Est (FY08)'!AO50</f>
        <v>0</v>
      </c>
      <c r="AP50" s="14">
        <f>'SDR Cost Estimate (FY08)'!AP50-'B2C Cost Est (FY08)'!AP50</f>
        <v>0</v>
      </c>
      <c r="AQ50" s="14">
        <f>SUM(AM50:AP50)</f>
        <v>0</v>
      </c>
      <c r="AR50" s="16"/>
      <c r="AS50" s="17"/>
      <c r="AU50" s="14">
        <f>'SDR Cost Estimate (FY08)'!AU50-'B2C Cost Est (FY08)'!AU50</f>
        <v>0</v>
      </c>
      <c r="AV50" s="15">
        <f>'SDR Cost Estimate (FY08)'!AV50-'B2C Cost Est (FY08)'!AV50</f>
        <v>0</v>
      </c>
      <c r="AW50" s="14">
        <f>'SDR Cost Estimate (FY08)'!AW50-'B2C Cost Est (FY08)'!AW50</f>
        <v>0</v>
      </c>
      <c r="AX50" s="14">
        <f>'SDR Cost Estimate (FY08)'!AX50-'B2C Cost Est (FY08)'!AX50</f>
        <v>0</v>
      </c>
      <c r="AY50" s="14">
        <f>'SDR Cost Estimate (FY08)'!AY50-'B2C Cost Est (FY08)'!AY50</f>
        <v>0</v>
      </c>
      <c r="AZ50" s="14">
        <f>'SDR Cost Estimate (FY08)'!AZ50-'B2C Cost Est (FY08)'!AZ50</f>
        <v>0</v>
      </c>
      <c r="BA50" s="14">
        <f>'SDR Cost Estimate (FY08)'!BA50-'B2C Cost Est (FY08)'!BA50</f>
        <v>0</v>
      </c>
      <c r="BB50" s="14">
        <f>SUM(AX50:BA50)</f>
        <v>0</v>
      </c>
      <c r="BC50" s="16"/>
    </row>
    <row r="51" spans="1:55" ht="12.75" hidden="1">
      <c r="A51" s="23" t="s">
        <v>920</v>
      </c>
      <c r="B51" s="19" t="s">
        <v>921</v>
      </c>
      <c r="C51" s="14">
        <f>'SDR Cost Estimate (FY08)'!C51-'B2C Cost Est (FY08)'!C51</f>
        <v>0</v>
      </c>
      <c r="D51" s="15">
        <f>'SDR Cost Estimate (FY08)'!D51-'B2C Cost Est (FY08)'!D51</f>
        <v>0</v>
      </c>
      <c r="E51" s="14">
        <f>'SDR Cost Estimate (FY08)'!E51-'B2C Cost Est (FY08)'!E51</f>
        <v>0</v>
      </c>
      <c r="F51" s="14">
        <f>'SDR Cost Estimate (FY08)'!F51-'B2C Cost Est (FY08)'!F51</f>
        <v>0</v>
      </c>
      <c r="G51" s="14">
        <f>'SDR Cost Estimate (FY08)'!G51-'B2C Cost Est (FY08)'!G51</f>
        <v>0</v>
      </c>
      <c r="H51" s="14">
        <f>'SDR Cost Estimate (FY08)'!H51-'B2C Cost Est (FY08)'!H51</f>
        <v>0</v>
      </c>
      <c r="I51" s="14">
        <f>'SDR Cost Estimate (FY08)'!I51-'B2C Cost Est (FY08)'!I51</f>
        <v>0</v>
      </c>
      <c r="J51" s="14">
        <f>SUM(F51:I51)</f>
        <v>0</v>
      </c>
      <c r="K51" s="16"/>
      <c r="L51" s="17"/>
      <c r="N51" s="14">
        <f>'SDR Cost Estimate (FY08)'!N51-'B2C Cost Est (FY08)'!N51</f>
        <v>0</v>
      </c>
      <c r="O51" s="15">
        <f>'SDR Cost Estimate (FY08)'!O51-'B2C Cost Est (FY08)'!O51</f>
        <v>0</v>
      </c>
      <c r="P51" s="14">
        <f>'SDR Cost Estimate (FY08)'!P51-'B2C Cost Est (FY08)'!P51</f>
        <v>0</v>
      </c>
      <c r="Q51" s="14">
        <f>'SDR Cost Estimate (FY08)'!Q51-'B2C Cost Est (FY08)'!Q51</f>
        <v>0</v>
      </c>
      <c r="R51" s="14">
        <f>'SDR Cost Estimate (FY08)'!R51-'B2C Cost Est (FY08)'!R51</f>
        <v>0</v>
      </c>
      <c r="S51" s="14">
        <f>'SDR Cost Estimate (FY08)'!S51-'B2C Cost Est (FY08)'!S51</f>
        <v>0</v>
      </c>
      <c r="T51" s="14">
        <f>'SDR Cost Estimate (FY08)'!T51-'B2C Cost Est (FY08)'!T51</f>
        <v>0</v>
      </c>
      <c r="U51" s="14">
        <f>SUM(Q51:T51)</f>
        <v>0</v>
      </c>
      <c r="V51" s="16"/>
      <c r="W51" s="17"/>
      <c r="Y51" s="14">
        <f>'SDR Cost Estimate (FY08)'!Y51-'B2C Cost Est (FY08)'!Y51</f>
        <v>0</v>
      </c>
      <c r="Z51" s="15">
        <f>'SDR Cost Estimate (FY08)'!Z51-'B2C Cost Est (FY08)'!Z51</f>
        <v>0</v>
      </c>
      <c r="AA51" s="14">
        <f>'SDR Cost Estimate (FY08)'!AA51-'B2C Cost Est (FY08)'!AA51</f>
        <v>0</v>
      </c>
      <c r="AB51" s="14">
        <f>'SDR Cost Estimate (FY08)'!AB51-'B2C Cost Est (FY08)'!AB51</f>
        <v>0</v>
      </c>
      <c r="AC51" s="14">
        <f>'SDR Cost Estimate (FY08)'!AC51-'B2C Cost Est (FY08)'!AC51</f>
        <v>0</v>
      </c>
      <c r="AD51" s="14">
        <f>'SDR Cost Estimate (FY08)'!AD51-'B2C Cost Est (FY08)'!AD51</f>
        <v>0</v>
      </c>
      <c r="AE51" s="14">
        <f>'SDR Cost Estimate (FY08)'!AE51-'B2C Cost Est (FY08)'!AE51</f>
        <v>0</v>
      </c>
      <c r="AF51" s="14">
        <f>SUM(AB51:AE51)</f>
        <v>0</v>
      </c>
      <c r="AG51" s="16"/>
      <c r="AH51" s="17"/>
      <c r="AJ51" s="14">
        <f>'SDR Cost Estimate (FY08)'!AJ51-'B2C Cost Est (FY08)'!AJ51</f>
        <v>0</v>
      </c>
      <c r="AK51" s="15">
        <f>'SDR Cost Estimate (FY08)'!AK51-'B2C Cost Est (FY08)'!AK51</f>
        <v>0</v>
      </c>
      <c r="AL51" s="14">
        <f>'SDR Cost Estimate (FY08)'!AL51-'B2C Cost Est (FY08)'!AL51</f>
        <v>0</v>
      </c>
      <c r="AM51" s="14">
        <f>'SDR Cost Estimate (FY08)'!AM51-'B2C Cost Est (FY08)'!AM51</f>
        <v>0</v>
      </c>
      <c r="AN51" s="14">
        <f>'SDR Cost Estimate (FY08)'!AN51-'B2C Cost Est (FY08)'!AN51</f>
        <v>0</v>
      </c>
      <c r="AO51" s="14">
        <f>'SDR Cost Estimate (FY08)'!AO51-'B2C Cost Est (FY08)'!AO51</f>
        <v>0</v>
      </c>
      <c r="AP51" s="14">
        <f>'SDR Cost Estimate (FY08)'!AP51-'B2C Cost Est (FY08)'!AP51</f>
        <v>0</v>
      </c>
      <c r="AQ51" s="14">
        <f>SUM(AM51:AP51)</f>
        <v>0</v>
      </c>
      <c r="AR51" s="16"/>
      <c r="AS51" s="17"/>
      <c r="AU51" s="14">
        <f>'SDR Cost Estimate (FY08)'!AU51-'B2C Cost Est (FY08)'!AU51</f>
        <v>0</v>
      </c>
      <c r="AV51" s="15">
        <f>'SDR Cost Estimate (FY08)'!AV51-'B2C Cost Est (FY08)'!AV51</f>
        <v>0</v>
      </c>
      <c r="AW51" s="14">
        <f>'SDR Cost Estimate (FY08)'!AW51-'B2C Cost Est (FY08)'!AW51</f>
        <v>0</v>
      </c>
      <c r="AX51" s="14">
        <f>'SDR Cost Estimate (FY08)'!AX51-'B2C Cost Est (FY08)'!AX51</f>
        <v>0</v>
      </c>
      <c r="AY51" s="14">
        <f>'SDR Cost Estimate (FY08)'!AY51-'B2C Cost Est (FY08)'!AY51</f>
        <v>0</v>
      </c>
      <c r="AZ51" s="14">
        <f>'SDR Cost Estimate (FY08)'!AZ51-'B2C Cost Est (FY08)'!AZ51</f>
        <v>0</v>
      </c>
      <c r="BA51" s="14">
        <f>'SDR Cost Estimate (FY08)'!BA51-'B2C Cost Est (FY08)'!BA51</f>
        <v>0</v>
      </c>
      <c r="BB51" s="14">
        <f>SUM(AX51:BA51)</f>
        <v>0</v>
      </c>
      <c r="BC51" s="16"/>
    </row>
    <row r="52" spans="1:55" ht="12.75" hidden="1">
      <c r="A52" s="23" t="s">
        <v>922</v>
      </c>
      <c r="B52" s="19" t="s">
        <v>923</v>
      </c>
      <c r="C52" s="14">
        <f>'SDR Cost Estimate (FY08)'!C52-'B2C Cost Est (FY08)'!C52</f>
        <v>0</v>
      </c>
      <c r="D52" s="15">
        <f>'SDR Cost Estimate (FY08)'!D52-'B2C Cost Est (FY08)'!D52</f>
        <v>0</v>
      </c>
      <c r="E52" s="14">
        <f>'SDR Cost Estimate (FY08)'!E52-'B2C Cost Est (FY08)'!E52</f>
        <v>0</v>
      </c>
      <c r="F52" s="14">
        <f>'SDR Cost Estimate (FY08)'!F52-'B2C Cost Est (FY08)'!F52</f>
        <v>0</v>
      </c>
      <c r="G52" s="14">
        <f>'SDR Cost Estimate (FY08)'!G52-'B2C Cost Est (FY08)'!G52</f>
        <v>0</v>
      </c>
      <c r="H52" s="14">
        <f>'SDR Cost Estimate (FY08)'!H52-'B2C Cost Est (FY08)'!H52</f>
        <v>0</v>
      </c>
      <c r="I52" s="14">
        <f>'SDR Cost Estimate (FY08)'!I52-'B2C Cost Est (FY08)'!I52</f>
        <v>0</v>
      </c>
      <c r="J52" s="14">
        <f>SUM(F52:I52)</f>
        <v>0</v>
      </c>
      <c r="K52" s="16"/>
      <c r="L52" s="17"/>
      <c r="N52" s="14">
        <f>'SDR Cost Estimate (FY08)'!N52-'B2C Cost Est (FY08)'!N52</f>
        <v>0</v>
      </c>
      <c r="O52" s="15">
        <f>'SDR Cost Estimate (FY08)'!O52-'B2C Cost Est (FY08)'!O52</f>
        <v>0</v>
      </c>
      <c r="P52" s="14">
        <f>'SDR Cost Estimate (FY08)'!P52-'B2C Cost Est (FY08)'!P52</f>
        <v>0</v>
      </c>
      <c r="Q52" s="14">
        <f>'SDR Cost Estimate (FY08)'!Q52-'B2C Cost Est (FY08)'!Q52</f>
        <v>0</v>
      </c>
      <c r="R52" s="14">
        <f>'SDR Cost Estimate (FY08)'!R52-'B2C Cost Est (FY08)'!R52</f>
        <v>0</v>
      </c>
      <c r="S52" s="14">
        <f>'SDR Cost Estimate (FY08)'!S52-'B2C Cost Est (FY08)'!S52</f>
        <v>0</v>
      </c>
      <c r="T52" s="14">
        <f>'SDR Cost Estimate (FY08)'!T52-'B2C Cost Est (FY08)'!T52</f>
        <v>0</v>
      </c>
      <c r="U52" s="14">
        <f>SUM(Q52:T52)</f>
        <v>0</v>
      </c>
      <c r="V52" s="16"/>
      <c r="W52" s="17"/>
      <c r="Y52" s="14">
        <f>'SDR Cost Estimate (FY08)'!Y52-'B2C Cost Est (FY08)'!Y52</f>
        <v>0</v>
      </c>
      <c r="Z52" s="15">
        <f>'SDR Cost Estimate (FY08)'!Z52-'B2C Cost Est (FY08)'!Z52</f>
        <v>0</v>
      </c>
      <c r="AA52" s="14">
        <f>'SDR Cost Estimate (FY08)'!AA52-'B2C Cost Est (FY08)'!AA52</f>
        <v>0</v>
      </c>
      <c r="AB52" s="14">
        <f>'SDR Cost Estimate (FY08)'!AB52-'B2C Cost Est (FY08)'!AB52</f>
        <v>0</v>
      </c>
      <c r="AC52" s="14">
        <f>'SDR Cost Estimate (FY08)'!AC52-'B2C Cost Est (FY08)'!AC52</f>
        <v>0</v>
      </c>
      <c r="AD52" s="14">
        <f>'SDR Cost Estimate (FY08)'!AD52-'B2C Cost Est (FY08)'!AD52</f>
        <v>0</v>
      </c>
      <c r="AE52" s="14">
        <f>'SDR Cost Estimate (FY08)'!AE52-'B2C Cost Est (FY08)'!AE52</f>
        <v>0</v>
      </c>
      <c r="AF52" s="14">
        <f>SUM(AB52:AE52)</f>
        <v>0</v>
      </c>
      <c r="AG52" s="16"/>
      <c r="AH52" s="17"/>
      <c r="AJ52" s="14">
        <f>'SDR Cost Estimate (FY08)'!AJ52-'B2C Cost Est (FY08)'!AJ52</f>
        <v>0</v>
      </c>
      <c r="AK52" s="15">
        <f>'SDR Cost Estimate (FY08)'!AK52-'B2C Cost Est (FY08)'!AK52</f>
        <v>0</v>
      </c>
      <c r="AL52" s="14">
        <f>'SDR Cost Estimate (FY08)'!AL52-'B2C Cost Est (FY08)'!AL52</f>
        <v>0</v>
      </c>
      <c r="AM52" s="14">
        <f>'SDR Cost Estimate (FY08)'!AM52-'B2C Cost Est (FY08)'!AM52</f>
        <v>0</v>
      </c>
      <c r="AN52" s="14">
        <f>'SDR Cost Estimate (FY08)'!AN52-'B2C Cost Est (FY08)'!AN52</f>
        <v>0</v>
      </c>
      <c r="AO52" s="14">
        <f>'SDR Cost Estimate (FY08)'!AO52-'B2C Cost Est (FY08)'!AO52</f>
        <v>0</v>
      </c>
      <c r="AP52" s="14">
        <f>'SDR Cost Estimate (FY08)'!AP52-'B2C Cost Est (FY08)'!AP52</f>
        <v>0</v>
      </c>
      <c r="AQ52" s="14">
        <f>SUM(AM52:AP52)</f>
        <v>0</v>
      </c>
      <c r="AR52" s="16"/>
      <c r="AS52" s="17"/>
      <c r="AU52" s="14">
        <f>'SDR Cost Estimate (FY08)'!AU52-'B2C Cost Est (FY08)'!AU52</f>
        <v>0</v>
      </c>
      <c r="AV52" s="15">
        <f>'SDR Cost Estimate (FY08)'!AV52-'B2C Cost Est (FY08)'!AV52</f>
        <v>0</v>
      </c>
      <c r="AW52" s="14">
        <f>'SDR Cost Estimate (FY08)'!AW52-'B2C Cost Est (FY08)'!AW52</f>
        <v>0</v>
      </c>
      <c r="AX52" s="14">
        <f>'SDR Cost Estimate (FY08)'!AX52-'B2C Cost Est (FY08)'!AX52</f>
        <v>0</v>
      </c>
      <c r="AY52" s="14">
        <f>'SDR Cost Estimate (FY08)'!AY52-'B2C Cost Est (FY08)'!AY52</f>
        <v>0</v>
      </c>
      <c r="AZ52" s="14">
        <f>'SDR Cost Estimate (FY08)'!AZ52-'B2C Cost Est (FY08)'!AZ52</f>
        <v>0</v>
      </c>
      <c r="BA52" s="14">
        <f>'SDR Cost Estimate (FY08)'!BA52-'B2C Cost Est (FY08)'!BA52</f>
        <v>0</v>
      </c>
      <c r="BB52" s="14">
        <f>SUM(AX52:BA52)</f>
        <v>0</v>
      </c>
      <c r="BC52" s="16"/>
    </row>
    <row r="53" spans="1:55" ht="12.75" hidden="1">
      <c r="A53" s="23">
        <v>4.4</v>
      </c>
      <c r="B53" s="19" t="s">
        <v>924</v>
      </c>
      <c r="K53" s="22"/>
      <c r="V53" s="22"/>
      <c r="AG53" s="22"/>
      <c r="AR53" s="22"/>
      <c r="BC53" s="22"/>
    </row>
    <row r="54" spans="1:55" ht="12.75" hidden="1">
      <c r="A54" s="23" t="s">
        <v>925</v>
      </c>
      <c r="B54" s="19" t="s">
        <v>926</v>
      </c>
      <c r="C54" s="14">
        <f>'SDR Cost Estimate (FY08)'!C54-'B2C Cost Est (FY08)'!C54</f>
        <v>0</v>
      </c>
      <c r="D54" s="15">
        <f>'SDR Cost Estimate (FY08)'!D54-'B2C Cost Est (FY08)'!D54</f>
        <v>0</v>
      </c>
      <c r="E54" s="14">
        <f>'SDR Cost Estimate (FY08)'!E54-'B2C Cost Est (FY08)'!E54</f>
        <v>0</v>
      </c>
      <c r="F54" s="14">
        <f>'SDR Cost Estimate (FY08)'!F54-'B2C Cost Est (FY08)'!F54</f>
        <v>0</v>
      </c>
      <c r="G54" s="14">
        <f>'SDR Cost Estimate (FY08)'!G54-'B2C Cost Est (FY08)'!G54</f>
        <v>0</v>
      </c>
      <c r="H54" s="14">
        <f>'SDR Cost Estimate (FY08)'!H54-'B2C Cost Est (FY08)'!H54</f>
        <v>0</v>
      </c>
      <c r="I54" s="14">
        <f>'SDR Cost Estimate (FY08)'!I54-'B2C Cost Est (FY08)'!I54</f>
        <v>0</v>
      </c>
      <c r="J54" s="14">
        <f aca="true" t="shared" si="20" ref="J54:J61">SUM(F54:I54)</f>
        <v>0</v>
      </c>
      <c r="K54" s="16"/>
      <c r="L54" s="17"/>
      <c r="N54" s="14">
        <f>'SDR Cost Estimate (FY08)'!N54-'B2C Cost Est (FY08)'!N54</f>
        <v>0</v>
      </c>
      <c r="O54" s="15">
        <f>'SDR Cost Estimate (FY08)'!O54-'B2C Cost Est (FY08)'!O54</f>
        <v>0</v>
      </c>
      <c r="P54" s="14">
        <f>'SDR Cost Estimate (FY08)'!P54-'B2C Cost Est (FY08)'!P54</f>
        <v>0</v>
      </c>
      <c r="Q54" s="14">
        <f>'SDR Cost Estimate (FY08)'!Q54-'B2C Cost Est (FY08)'!Q54</f>
        <v>0</v>
      </c>
      <c r="R54" s="14">
        <f>'SDR Cost Estimate (FY08)'!R54-'B2C Cost Est (FY08)'!R54</f>
        <v>0</v>
      </c>
      <c r="S54" s="14">
        <f>'SDR Cost Estimate (FY08)'!S54-'B2C Cost Est (FY08)'!S54</f>
        <v>0</v>
      </c>
      <c r="T54" s="14">
        <f>'SDR Cost Estimate (FY08)'!T54-'B2C Cost Est (FY08)'!T54</f>
        <v>0</v>
      </c>
      <c r="U54" s="14">
        <f aca="true" t="shared" si="21" ref="U54:U61">SUM(Q54:T54)</f>
        <v>0</v>
      </c>
      <c r="V54" s="16"/>
      <c r="W54" s="17"/>
      <c r="Y54" s="14">
        <f>'SDR Cost Estimate (FY08)'!Y54-'B2C Cost Est (FY08)'!Y54</f>
        <v>0</v>
      </c>
      <c r="Z54" s="15">
        <f>'SDR Cost Estimate (FY08)'!Z54-'B2C Cost Est (FY08)'!Z54</f>
        <v>0</v>
      </c>
      <c r="AA54" s="14">
        <f>'SDR Cost Estimate (FY08)'!AA54-'B2C Cost Est (FY08)'!AA54</f>
        <v>0</v>
      </c>
      <c r="AB54" s="14">
        <f>'SDR Cost Estimate (FY08)'!AB54-'B2C Cost Est (FY08)'!AB54</f>
        <v>0</v>
      </c>
      <c r="AC54" s="14">
        <f>'SDR Cost Estimate (FY08)'!AC54-'B2C Cost Est (FY08)'!AC54</f>
        <v>0</v>
      </c>
      <c r="AD54" s="14">
        <f>'SDR Cost Estimate (FY08)'!AD54-'B2C Cost Est (FY08)'!AD54</f>
        <v>0</v>
      </c>
      <c r="AE54" s="14">
        <f>'SDR Cost Estimate (FY08)'!AE54-'B2C Cost Est (FY08)'!AE54</f>
        <v>0</v>
      </c>
      <c r="AF54" s="14">
        <f aca="true" t="shared" si="22" ref="AF54:AF61">SUM(AB54:AE54)</f>
        <v>0</v>
      </c>
      <c r="AG54" s="16"/>
      <c r="AH54" s="17"/>
      <c r="AJ54" s="14">
        <f>'SDR Cost Estimate (FY08)'!AJ54-'B2C Cost Est (FY08)'!AJ54</f>
        <v>0</v>
      </c>
      <c r="AK54" s="15">
        <f>'SDR Cost Estimate (FY08)'!AK54-'B2C Cost Est (FY08)'!AK54</f>
        <v>0</v>
      </c>
      <c r="AL54" s="14">
        <f>'SDR Cost Estimate (FY08)'!AL54-'B2C Cost Est (FY08)'!AL54</f>
        <v>0</v>
      </c>
      <c r="AM54" s="14">
        <f>'SDR Cost Estimate (FY08)'!AM54-'B2C Cost Est (FY08)'!AM54</f>
        <v>0</v>
      </c>
      <c r="AN54" s="14">
        <f>'SDR Cost Estimate (FY08)'!AN54-'B2C Cost Est (FY08)'!AN54</f>
        <v>0</v>
      </c>
      <c r="AO54" s="14">
        <f>'SDR Cost Estimate (FY08)'!AO54-'B2C Cost Est (FY08)'!AO54</f>
        <v>0</v>
      </c>
      <c r="AP54" s="14">
        <f>'SDR Cost Estimate (FY08)'!AP54-'B2C Cost Est (FY08)'!AP54</f>
        <v>0</v>
      </c>
      <c r="AQ54" s="14">
        <f aca="true" t="shared" si="23" ref="AQ54:AQ61">SUM(AM54:AP54)</f>
        <v>0</v>
      </c>
      <c r="AR54" s="16"/>
      <c r="AS54" s="17"/>
      <c r="AU54" s="14">
        <f>'SDR Cost Estimate (FY08)'!AU54-'B2C Cost Est (FY08)'!AU54</f>
        <v>0</v>
      </c>
      <c r="AV54" s="15">
        <f>'SDR Cost Estimate (FY08)'!AV54-'B2C Cost Est (FY08)'!AV54</f>
        <v>0</v>
      </c>
      <c r="AW54" s="14">
        <f>'SDR Cost Estimate (FY08)'!AW54-'B2C Cost Est (FY08)'!AW54</f>
        <v>0</v>
      </c>
      <c r="AX54" s="14">
        <f>'SDR Cost Estimate (FY08)'!AX54-'B2C Cost Est (FY08)'!AX54</f>
        <v>0</v>
      </c>
      <c r="AY54" s="14">
        <f>'SDR Cost Estimate (FY08)'!AY54-'B2C Cost Est (FY08)'!AY54</f>
        <v>0</v>
      </c>
      <c r="AZ54" s="14">
        <f>'SDR Cost Estimate (FY08)'!AZ54-'B2C Cost Est (FY08)'!AZ54</f>
        <v>0</v>
      </c>
      <c r="BA54" s="14">
        <f>'SDR Cost Estimate (FY08)'!BA54-'B2C Cost Est (FY08)'!BA54</f>
        <v>0</v>
      </c>
      <c r="BB54" s="14">
        <f aca="true" t="shared" si="24" ref="BB54:BB61">SUM(AX54:BA54)</f>
        <v>0</v>
      </c>
      <c r="BC54" s="16"/>
    </row>
    <row r="55" spans="1:55" ht="12.75" hidden="1">
      <c r="A55" s="23" t="s">
        <v>927</v>
      </c>
      <c r="B55" s="19" t="s">
        <v>928</v>
      </c>
      <c r="C55" s="14">
        <f>'SDR Cost Estimate (FY08)'!C55-'B2C Cost Est (FY08)'!C55</f>
        <v>0</v>
      </c>
      <c r="D55" s="15">
        <f>'SDR Cost Estimate (FY08)'!D55-'B2C Cost Est (FY08)'!D55</f>
        <v>0</v>
      </c>
      <c r="E55" s="14">
        <f>'SDR Cost Estimate (FY08)'!E55-'B2C Cost Est (FY08)'!E55</f>
        <v>0</v>
      </c>
      <c r="F55" s="14">
        <f>'SDR Cost Estimate (FY08)'!F55-'B2C Cost Est (FY08)'!F55</f>
        <v>0</v>
      </c>
      <c r="G55" s="14">
        <f>'SDR Cost Estimate (FY08)'!G55-'B2C Cost Est (FY08)'!G55</f>
        <v>0</v>
      </c>
      <c r="H55" s="14">
        <f>'SDR Cost Estimate (FY08)'!H55-'B2C Cost Est (FY08)'!H55</f>
        <v>0</v>
      </c>
      <c r="I55" s="14">
        <f>'SDR Cost Estimate (FY08)'!I55-'B2C Cost Est (FY08)'!I55</f>
        <v>0</v>
      </c>
      <c r="J55" s="14">
        <f t="shared" si="20"/>
        <v>0</v>
      </c>
      <c r="K55" s="16"/>
      <c r="L55" s="17"/>
      <c r="N55" s="14">
        <f>'SDR Cost Estimate (FY08)'!N55-'B2C Cost Est (FY08)'!N55</f>
        <v>0</v>
      </c>
      <c r="O55" s="15">
        <f>'SDR Cost Estimate (FY08)'!O55-'B2C Cost Est (FY08)'!O55</f>
        <v>0</v>
      </c>
      <c r="P55" s="14">
        <f>'SDR Cost Estimate (FY08)'!P55-'B2C Cost Est (FY08)'!P55</f>
        <v>0</v>
      </c>
      <c r="Q55" s="14">
        <f>'SDR Cost Estimate (FY08)'!Q55-'B2C Cost Est (FY08)'!Q55</f>
        <v>0</v>
      </c>
      <c r="R55" s="14">
        <f>'SDR Cost Estimate (FY08)'!R55-'B2C Cost Est (FY08)'!R55</f>
        <v>0</v>
      </c>
      <c r="S55" s="14">
        <f>'SDR Cost Estimate (FY08)'!S55-'B2C Cost Est (FY08)'!S55</f>
        <v>0</v>
      </c>
      <c r="T55" s="14">
        <f>'SDR Cost Estimate (FY08)'!T55-'B2C Cost Est (FY08)'!T55</f>
        <v>0</v>
      </c>
      <c r="U55" s="14">
        <f t="shared" si="21"/>
        <v>0</v>
      </c>
      <c r="V55" s="16"/>
      <c r="W55" s="17"/>
      <c r="Y55" s="14">
        <f>'SDR Cost Estimate (FY08)'!Y55-'B2C Cost Est (FY08)'!Y55</f>
        <v>0</v>
      </c>
      <c r="Z55" s="15">
        <f>'SDR Cost Estimate (FY08)'!Z55-'B2C Cost Est (FY08)'!Z55</f>
        <v>0</v>
      </c>
      <c r="AA55" s="14">
        <f>'SDR Cost Estimate (FY08)'!AA55-'B2C Cost Est (FY08)'!AA55</f>
        <v>0</v>
      </c>
      <c r="AB55" s="14">
        <f>'SDR Cost Estimate (FY08)'!AB55-'B2C Cost Est (FY08)'!AB55</f>
        <v>0</v>
      </c>
      <c r="AC55" s="14">
        <f>'SDR Cost Estimate (FY08)'!AC55-'B2C Cost Est (FY08)'!AC55</f>
        <v>0</v>
      </c>
      <c r="AD55" s="14">
        <f>'SDR Cost Estimate (FY08)'!AD55-'B2C Cost Est (FY08)'!AD55</f>
        <v>0</v>
      </c>
      <c r="AE55" s="14">
        <f>'SDR Cost Estimate (FY08)'!AE55-'B2C Cost Est (FY08)'!AE55</f>
        <v>0</v>
      </c>
      <c r="AF55" s="14">
        <f t="shared" si="22"/>
        <v>0</v>
      </c>
      <c r="AG55" s="16"/>
      <c r="AH55" s="17"/>
      <c r="AJ55" s="14">
        <f>'SDR Cost Estimate (FY08)'!AJ55-'B2C Cost Est (FY08)'!AJ55</f>
        <v>0</v>
      </c>
      <c r="AK55" s="15">
        <f>'SDR Cost Estimate (FY08)'!AK55-'B2C Cost Est (FY08)'!AK55</f>
        <v>0</v>
      </c>
      <c r="AL55" s="14">
        <f>'SDR Cost Estimate (FY08)'!AL55-'B2C Cost Est (FY08)'!AL55</f>
        <v>0</v>
      </c>
      <c r="AM55" s="14">
        <f>'SDR Cost Estimate (FY08)'!AM55-'B2C Cost Est (FY08)'!AM55</f>
        <v>0</v>
      </c>
      <c r="AN55" s="14">
        <f>'SDR Cost Estimate (FY08)'!AN55-'B2C Cost Est (FY08)'!AN55</f>
        <v>0</v>
      </c>
      <c r="AO55" s="14">
        <f>'SDR Cost Estimate (FY08)'!AO55-'B2C Cost Est (FY08)'!AO55</f>
        <v>0</v>
      </c>
      <c r="AP55" s="14">
        <f>'SDR Cost Estimate (FY08)'!AP55-'B2C Cost Est (FY08)'!AP55</f>
        <v>0</v>
      </c>
      <c r="AQ55" s="14">
        <f t="shared" si="23"/>
        <v>0</v>
      </c>
      <c r="AR55" s="16"/>
      <c r="AS55" s="17"/>
      <c r="AU55" s="14">
        <f>'SDR Cost Estimate (FY08)'!AU55-'B2C Cost Est (FY08)'!AU55</f>
        <v>0</v>
      </c>
      <c r="AV55" s="15">
        <f>'SDR Cost Estimate (FY08)'!AV55-'B2C Cost Est (FY08)'!AV55</f>
        <v>0</v>
      </c>
      <c r="AW55" s="14">
        <f>'SDR Cost Estimate (FY08)'!AW55-'B2C Cost Est (FY08)'!AW55</f>
        <v>0</v>
      </c>
      <c r="AX55" s="14">
        <f>'SDR Cost Estimate (FY08)'!AX55-'B2C Cost Est (FY08)'!AX55</f>
        <v>0</v>
      </c>
      <c r="AY55" s="14">
        <f>'SDR Cost Estimate (FY08)'!AY55-'B2C Cost Est (FY08)'!AY55</f>
        <v>0</v>
      </c>
      <c r="AZ55" s="14">
        <f>'SDR Cost Estimate (FY08)'!AZ55-'B2C Cost Est (FY08)'!AZ55</f>
        <v>0</v>
      </c>
      <c r="BA55" s="14">
        <f>'SDR Cost Estimate (FY08)'!BA55-'B2C Cost Est (FY08)'!BA55</f>
        <v>0</v>
      </c>
      <c r="BB55" s="14">
        <f t="shared" si="24"/>
        <v>0</v>
      </c>
      <c r="BC55" s="16"/>
    </row>
    <row r="56" spans="1:55" ht="12.75" hidden="1">
      <c r="A56" s="23" t="s">
        <v>929</v>
      </c>
      <c r="B56" s="19" t="s">
        <v>930</v>
      </c>
      <c r="C56" s="14">
        <f>'SDR Cost Estimate (FY08)'!C56-'B2C Cost Est (FY08)'!C56</f>
        <v>1500</v>
      </c>
      <c r="D56" s="15">
        <f>'SDR Cost Estimate (FY08)'!D56-'B2C Cost Est (FY08)'!D56</f>
        <v>0.8333333333333333</v>
      </c>
      <c r="E56" s="14">
        <f>'SDR Cost Estimate (FY08)'!E56-'B2C Cost Est (FY08)'!E56</f>
        <v>0</v>
      </c>
      <c r="F56" s="14">
        <f>'SDR Cost Estimate (FY08)'!F56-'B2C Cost Est (FY08)'!F56</f>
        <v>79.69287137681147</v>
      </c>
      <c r="G56" s="14">
        <f>'SDR Cost Estimate (FY08)'!G56-'B2C Cost Est (FY08)'!G56</f>
        <v>0</v>
      </c>
      <c r="H56" s="14">
        <f>'SDR Cost Estimate (FY08)'!H56-'B2C Cost Est (FY08)'!H56</f>
        <v>0</v>
      </c>
      <c r="I56" s="14">
        <f>'SDR Cost Estimate (FY08)'!I56-'B2C Cost Est (FY08)'!I56</f>
        <v>30.283290190908886</v>
      </c>
      <c r="J56" s="14">
        <f t="shared" si="20"/>
        <v>109.97616156772035</v>
      </c>
      <c r="K56" s="16"/>
      <c r="L56" s="17"/>
      <c r="N56" s="14">
        <f>'SDR Cost Estimate (FY08)'!N56-'B2C Cost Est (FY08)'!N56</f>
        <v>0</v>
      </c>
      <c r="O56" s="15">
        <f>'SDR Cost Estimate (FY08)'!O56-'B2C Cost Est (FY08)'!O56</f>
        <v>0</v>
      </c>
      <c r="P56" s="14">
        <f>'SDR Cost Estimate (FY08)'!P56-'B2C Cost Est (FY08)'!P56</f>
        <v>0</v>
      </c>
      <c r="Q56" s="14">
        <f>'SDR Cost Estimate (FY08)'!Q56-'B2C Cost Est (FY08)'!Q56</f>
        <v>0</v>
      </c>
      <c r="R56" s="14">
        <f>'SDR Cost Estimate (FY08)'!R56-'B2C Cost Est (FY08)'!R56</f>
        <v>0</v>
      </c>
      <c r="S56" s="14">
        <f>'SDR Cost Estimate (FY08)'!S56-'B2C Cost Est (FY08)'!S56</f>
        <v>0</v>
      </c>
      <c r="T56" s="14">
        <f>'SDR Cost Estimate (FY08)'!T56-'B2C Cost Est (FY08)'!T56</f>
        <v>0</v>
      </c>
      <c r="U56" s="14">
        <f t="shared" si="21"/>
        <v>0</v>
      </c>
      <c r="V56" s="16"/>
      <c r="W56" s="17"/>
      <c r="Y56" s="14">
        <f>'SDR Cost Estimate (FY08)'!Y56-'B2C Cost Est (FY08)'!Y56</f>
        <v>0</v>
      </c>
      <c r="Z56" s="15">
        <f>'SDR Cost Estimate (FY08)'!Z56-'B2C Cost Est (FY08)'!Z56</f>
        <v>0</v>
      </c>
      <c r="AA56" s="14">
        <f>'SDR Cost Estimate (FY08)'!AA56-'B2C Cost Est (FY08)'!AA56</f>
        <v>0</v>
      </c>
      <c r="AB56" s="14">
        <f>'SDR Cost Estimate (FY08)'!AB56-'B2C Cost Est (FY08)'!AB56</f>
        <v>0</v>
      </c>
      <c r="AC56" s="14">
        <f>'SDR Cost Estimate (FY08)'!AC56-'B2C Cost Est (FY08)'!AC56</f>
        <v>0</v>
      </c>
      <c r="AD56" s="14">
        <f>'SDR Cost Estimate (FY08)'!AD56-'B2C Cost Est (FY08)'!AD56</f>
        <v>0</v>
      </c>
      <c r="AE56" s="14">
        <f>'SDR Cost Estimate (FY08)'!AE56-'B2C Cost Est (FY08)'!AE56</f>
        <v>0</v>
      </c>
      <c r="AF56" s="14">
        <f t="shared" si="22"/>
        <v>0</v>
      </c>
      <c r="AG56" s="16"/>
      <c r="AH56" s="17"/>
      <c r="AJ56" s="14">
        <f>'SDR Cost Estimate (FY08)'!AJ56-'B2C Cost Est (FY08)'!AJ56</f>
        <v>1500</v>
      </c>
      <c r="AK56" s="15">
        <f>'SDR Cost Estimate (FY08)'!AK56-'B2C Cost Est (FY08)'!AK56</f>
        <v>0.8333333333333333</v>
      </c>
      <c r="AL56" s="14">
        <f>'SDR Cost Estimate (FY08)'!AL56-'B2C Cost Est (FY08)'!AL56</f>
        <v>0</v>
      </c>
      <c r="AM56" s="14">
        <f>'SDR Cost Estimate (FY08)'!AM56-'B2C Cost Est (FY08)'!AM56</f>
        <v>79.69287137681148</v>
      </c>
      <c r="AN56" s="14">
        <f>'SDR Cost Estimate (FY08)'!AN56-'B2C Cost Est (FY08)'!AN56</f>
        <v>0</v>
      </c>
      <c r="AO56" s="14">
        <f>'SDR Cost Estimate (FY08)'!AO56-'B2C Cost Est (FY08)'!AO56</f>
        <v>0</v>
      </c>
      <c r="AP56" s="14">
        <f>'SDR Cost Estimate (FY08)'!AP56-'B2C Cost Est (FY08)'!AP56</f>
        <v>30.28329019090888</v>
      </c>
      <c r="AQ56" s="14">
        <f t="shared" si="23"/>
        <v>109.97616156772037</v>
      </c>
      <c r="AR56" s="16"/>
      <c r="AS56" s="17"/>
      <c r="AU56" s="14">
        <f>'SDR Cost Estimate (FY08)'!AU56-'B2C Cost Est (FY08)'!AU56</f>
        <v>0</v>
      </c>
      <c r="AV56" s="15">
        <f>'SDR Cost Estimate (FY08)'!AV56-'B2C Cost Est (FY08)'!AV56</f>
        <v>0</v>
      </c>
      <c r="AW56" s="14">
        <f>'SDR Cost Estimate (FY08)'!AW56-'B2C Cost Est (FY08)'!AW56</f>
        <v>0</v>
      </c>
      <c r="AX56" s="14">
        <f>'SDR Cost Estimate (FY08)'!AX56-'B2C Cost Est (FY08)'!AX56</f>
        <v>0</v>
      </c>
      <c r="AY56" s="14">
        <f>'SDR Cost Estimate (FY08)'!AY56-'B2C Cost Est (FY08)'!AY56</f>
        <v>0</v>
      </c>
      <c r="AZ56" s="14">
        <f>'SDR Cost Estimate (FY08)'!AZ56-'B2C Cost Est (FY08)'!AZ56</f>
        <v>0</v>
      </c>
      <c r="BA56" s="14">
        <f>'SDR Cost Estimate (FY08)'!BA56-'B2C Cost Est (FY08)'!BA56</f>
        <v>0</v>
      </c>
      <c r="BB56" s="14">
        <f t="shared" si="24"/>
        <v>0</v>
      </c>
      <c r="BC56" s="16"/>
    </row>
    <row r="57" spans="1:55" ht="12.75" hidden="1">
      <c r="A57" s="23" t="s">
        <v>931</v>
      </c>
      <c r="B57" s="19" t="s">
        <v>932</v>
      </c>
      <c r="C57" s="14">
        <f>'SDR Cost Estimate (FY08)'!C57-'B2C Cost Est (FY08)'!C57</f>
        <v>0</v>
      </c>
      <c r="D57" s="15">
        <f>'SDR Cost Estimate (FY08)'!D57-'B2C Cost Est (FY08)'!D57</f>
        <v>0</v>
      </c>
      <c r="E57" s="14">
        <f>'SDR Cost Estimate (FY08)'!E57-'B2C Cost Est (FY08)'!E57</f>
        <v>0</v>
      </c>
      <c r="F57" s="14">
        <f>'SDR Cost Estimate (FY08)'!F57-'B2C Cost Est (FY08)'!F57</f>
        <v>0</v>
      </c>
      <c r="G57" s="14">
        <f>'SDR Cost Estimate (FY08)'!G57-'B2C Cost Est (FY08)'!G57</f>
        <v>0</v>
      </c>
      <c r="H57" s="14">
        <f>'SDR Cost Estimate (FY08)'!H57-'B2C Cost Est (FY08)'!H57</f>
        <v>0</v>
      </c>
      <c r="I57" s="14">
        <f>'SDR Cost Estimate (FY08)'!I57-'B2C Cost Est (FY08)'!I57</f>
        <v>0</v>
      </c>
      <c r="J57" s="14">
        <f t="shared" si="20"/>
        <v>0</v>
      </c>
      <c r="K57" s="16"/>
      <c r="L57" s="17"/>
      <c r="N57" s="14">
        <f>'SDR Cost Estimate (FY08)'!N57-'B2C Cost Est (FY08)'!N57</f>
        <v>0</v>
      </c>
      <c r="O57" s="15">
        <f>'SDR Cost Estimate (FY08)'!O57-'B2C Cost Est (FY08)'!O57</f>
        <v>0</v>
      </c>
      <c r="P57" s="14">
        <f>'SDR Cost Estimate (FY08)'!P57-'B2C Cost Est (FY08)'!P57</f>
        <v>0</v>
      </c>
      <c r="Q57" s="14">
        <f>'SDR Cost Estimate (FY08)'!Q57-'B2C Cost Est (FY08)'!Q57</f>
        <v>0</v>
      </c>
      <c r="R57" s="14">
        <f>'SDR Cost Estimate (FY08)'!R57-'B2C Cost Est (FY08)'!R57</f>
        <v>0</v>
      </c>
      <c r="S57" s="14">
        <f>'SDR Cost Estimate (FY08)'!S57-'B2C Cost Est (FY08)'!S57</f>
        <v>0</v>
      </c>
      <c r="T57" s="14">
        <f>'SDR Cost Estimate (FY08)'!T57-'B2C Cost Est (FY08)'!T57</f>
        <v>0</v>
      </c>
      <c r="U57" s="14">
        <f t="shared" si="21"/>
        <v>0</v>
      </c>
      <c r="V57" s="16"/>
      <c r="W57" s="17"/>
      <c r="Y57" s="14">
        <f>'SDR Cost Estimate (FY08)'!Y57-'B2C Cost Est (FY08)'!Y57</f>
        <v>0</v>
      </c>
      <c r="Z57" s="15">
        <f>'SDR Cost Estimate (FY08)'!Z57-'B2C Cost Est (FY08)'!Z57</f>
        <v>0</v>
      </c>
      <c r="AA57" s="14">
        <f>'SDR Cost Estimate (FY08)'!AA57-'B2C Cost Est (FY08)'!AA57</f>
        <v>0</v>
      </c>
      <c r="AB57" s="14">
        <f>'SDR Cost Estimate (FY08)'!AB57-'B2C Cost Est (FY08)'!AB57</f>
        <v>0</v>
      </c>
      <c r="AC57" s="14">
        <f>'SDR Cost Estimate (FY08)'!AC57-'B2C Cost Est (FY08)'!AC57</f>
        <v>0</v>
      </c>
      <c r="AD57" s="14">
        <f>'SDR Cost Estimate (FY08)'!AD57-'B2C Cost Est (FY08)'!AD57</f>
        <v>0</v>
      </c>
      <c r="AE57" s="14">
        <f>'SDR Cost Estimate (FY08)'!AE57-'B2C Cost Est (FY08)'!AE57</f>
        <v>0</v>
      </c>
      <c r="AF57" s="14">
        <f t="shared" si="22"/>
        <v>0</v>
      </c>
      <c r="AG57" s="16"/>
      <c r="AH57" s="17"/>
      <c r="AJ57" s="14">
        <f>'SDR Cost Estimate (FY08)'!AJ57-'B2C Cost Est (FY08)'!AJ57</f>
        <v>0</v>
      </c>
      <c r="AK57" s="15">
        <f>'SDR Cost Estimate (FY08)'!AK57-'B2C Cost Est (FY08)'!AK57</f>
        <v>0</v>
      </c>
      <c r="AL57" s="14">
        <f>'SDR Cost Estimate (FY08)'!AL57-'B2C Cost Est (FY08)'!AL57</f>
        <v>0</v>
      </c>
      <c r="AM57" s="14">
        <f>'SDR Cost Estimate (FY08)'!AM57-'B2C Cost Est (FY08)'!AM57</f>
        <v>0</v>
      </c>
      <c r="AN57" s="14">
        <f>'SDR Cost Estimate (FY08)'!AN57-'B2C Cost Est (FY08)'!AN57</f>
        <v>0</v>
      </c>
      <c r="AO57" s="14">
        <f>'SDR Cost Estimate (FY08)'!AO57-'B2C Cost Est (FY08)'!AO57</f>
        <v>0</v>
      </c>
      <c r="AP57" s="14">
        <f>'SDR Cost Estimate (FY08)'!AP57-'B2C Cost Est (FY08)'!AP57</f>
        <v>0</v>
      </c>
      <c r="AQ57" s="14">
        <f t="shared" si="23"/>
        <v>0</v>
      </c>
      <c r="AR57" s="16"/>
      <c r="AS57" s="17"/>
      <c r="AU57" s="14">
        <f>'SDR Cost Estimate (FY08)'!AU57-'B2C Cost Est (FY08)'!AU57</f>
        <v>0</v>
      </c>
      <c r="AV57" s="15">
        <f>'SDR Cost Estimate (FY08)'!AV57-'B2C Cost Est (FY08)'!AV57</f>
        <v>0</v>
      </c>
      <c r="AW57" s="14">
        <f>'SDR Cost Estimate (FY08)'!AW57-'B2C Cost Est (FY08)'!AW57</f>
        <v>0</v>
      </c>
      <c r="AX57" s="14">
        <f>'SDR Cost Estimate (FY08)'!AX57-'B2C Cost Est (FY08)'!AX57</f>
        <v>0</v>
      </c>
      <c r="AY57" s="14">
        <f>'SDR Cost Estimate (FY08)'!AY57-'B2C Cost Est (FY08)'!AY57</f>
        <v>0</v>
      </c>
      <c r="AZ57" s="14">
        <f>'SDR Cost Estimate (FY08)'!AZ57-'B2C Cost Est (FY08)'!AZ57</f>
        <v>0</v>
      </c>
      <c r="BA57" s="14">
        <f>'SDR Cost Estimate (FY08)'!BA57-'B2C Cost Est (FY08)'!BA57</f>
        <v>0</v>
      </c>
      <c r="BB57" s="14">
        <f t="shared" si="24"/>
        <v>0</v>
      </c>
      <c r="BC57" s="16"/>
    </row>
    <row r="58" spans="1:55" ht="12.75" hidden="1">
      <c r="A58" s="23" t="s">
        <v>933</v>
      </c>
      <c r="B58" s="19" t="s">
        <v>934</v>
      </c>
      <c r="C58" s="14">
        <f>'SDR Cost Estimate (FY08)'!C58-'B2C Cost Est (FY08)'!C58</f>
        <v>0</v>
      </c>
      <c r="D58" s="15">
        <f>'SDR Cost Estimate (FY08)'!D58-'B2C Cost Est (FY08)'!D58</f>
        <v>0</v>
      </c>
      <c r="E58" s="14">
        <f>'SDR Cost Estimate (FY08)'!E58-'B2C Cost Est (FY08)'!E58</f>
        <v>0</v>
      </c>
      <c r="F58" s="14">
        <f>'SDR Cost Estimate (FY08)'!F58-'B2C Cost Est (FY08)'!F58</f>
        <v>0</v>
      </c>
      <c r="G58" s="14">
        <f>'SDR Cost Estimate (FY08)'!G58-'B2C Cost Est (FY08)'!G58</f>
        <v>74</v>
      </c>
      <c r="H58" s="14">
        <f>'SDR Cost Estimate (FY08)'!H58-'B2C Cost Est (FY08)'!H58</f>
        <v>0</v>
      </c>
      <c r="I58" s="14">
        <f>'SDR Cost Estimate (FY08)'!I58-'B2C Cost Est (FY08)'!I58</f>
        <v>28.119999087182208</v>
      </c>
      <c r="J58" s="14">
        <f t="shared" si="20"/>
        <v>102.11999908718221</v>
      </c>
      <c r="K58" s="16"/>
      <c r="L58" s="17"/>
      <c r="N58" s="14">
        <f>'SDR Cost Estimate (FY08)'!N58-'B2C Cost Est (FY08)'!N58</f>
        <v>0</v>
      </c>
      <c r="O58" s="15">
        <f>'SDR Cost Estimate (FY08)'!O58-'B2C Cost Est (FY08)'!O58</f>
        <v>0</v>
      </c>
      <c r="P58" s="14">
        <f>'SDR Cost Estimate (FY08)'!P58-'B2C Cost Est (FY08)'!P58</f>
        <v>0</v>
      </c>
      <c r="Q58" s="14">
        <f>'SDR Cost Estimate (FY08)'!Q58-'B2C Cost Est (FY08)'!Q58</f>
        <v>0</v>
      </c>
      <c r="R58" s="14">
        <f>'SDR Cost Estimate (FY08)'!R58-'B2C Cost Est (FY08)'!R58</f>
        <v>0</v>
      </c>
      <c r="S58" s="14">
        <f>'SDR Cost Estimate (FY08)'!S58-'B2C Cost Est (FY08)'!S58</f>
        <v>0</v>
      </c>
      <c r="T58" s="14">
        <f>'SDR Cost Estimate (FY08)'!T58-'B2C Cost Est (FY08)'!T58</f>
        <v>0</v>
      </c>
      <c r="U58" s="14">
        <f t="shared" si="21"/>
        <v>0</v>
      </c>
      <c r="V58" s="16"/>
      <c r="W58" s="17"/>
      <c r="Y58" s="14">
        <f>'SDR Cost Estimate (FY08)'!Y58-'B2C Cost Est (FY08)'!Y58</f>
        <v>0</v>
      </c>
      <c r="Z58" s="15">
        <f>'SDR Cost Estimate (FY08)'!Z58-'B2C Cost Est (FY08)'!Z58</f>
        <v>0</v>
      </c>
      <c r="AA58" s="14">
        <f>'SDR Cost Estimate (FY08)'!AA58-'B2C Cost Est (FY08)'!AA58</f>
        <v>0</v>
      </c>
      <c r="AB58" s="14">
        <f>'SDR Cost Estimate (FY08)'!AB58-'B2C Cost Est (FY08)'!AB58</f>
        <v>0</v>
      </c>
      <c r="AC58" s="14">
        <f>'SDR Cost Estimate (FY08)'!AC58-'B2C Cost Est (FY08)'!AC58</f>
        <v>0</v>
      </c>
      <c r="AD58" s="14">
        <f>'SDR Cost Estimate (FY08)'!AD58-'B2C Cost Est (FY08)'!AD58</f>
        <v>0</v>
      </c>
      <c r="AE58" s="14">
        <f>'SDR Cost Estimate (FY08)'!AE58-'B2C Cost Est (FY08)'!AE58</f>
        <v>0</v>
      </c>
      <c r="AF58" s="14">
        <f t="shared" si="22"/>
        <v>0</v>
      </c>
      <c r="AG58" s="16"/>
      <c r="AH58" s="17"/>
      <c r="AJ58" s="14">
        <f>'SDR Cost Estimate (FY08)'!AJ58-'B2C Cost Est (FY08)'!AJ58</f>
        <v>0</v>
      </c>
      <c r="AK58" s="15">
        <f>'SDR Cost Estimate (FY08)'!AK58-'B2C Cost Est (FY08)'!AK58</f>
        <v>0</v>
      </c>
      <c r="AL58" s="14">
        <f>'SDR Cost Estimate (FY08)'!AL58-'B2C Cost Est (FY08)'!AL58</f>
        <v>0</v>
      </c>
      <c r="AM58" s="14">
        <f>'SDR Cost Estimate (FY08)'!AM58-'B2C Cost Est (FY08)'!AM58</f>
        <v>0</v>
      </c>
      <c r="AN58" s="14">
        <f>'SDR Cost Estimate (FY08)'!AN58-'B2C Cost Est (FY08)'!AN58</f>
        <v>74</v>
      </c>
      <c r="AO58" s="14">
        <f>'SDR Cost Estimate (FY08)'!AO58-'B2C Cost Est (FY08)'!AO58</f>
        <v>0</v>
      </c>
      <c r="AP58" s="14">
        <f>'SDR Cost Estimate (FY08)'!AP58-'B2C Cost Est (FY08)'!AP58</f>
        <v>28.1199990871822</v>
      </c>
      <c r="AQ58" s="14">
        <f t="shared" si="23"/>
        <v>102.11999908718221</v>
      </c>
      <c r="AR58" s="16"/>
      <c r="AS58" s="17"/>
      <c r="AU58" s="14">
        <f>'SDR Cost Estimate (FY08)'!AU58-'B2C Cost Est (FY08)'!AU58</f>
        <v>0</v>
      </c>
      <c r="AV58" s="15">
        <f>'SDR Cost Estimate (FY08)'!AV58-'B2C Cost Est (FY08)'!AV58</f>
        <v>0</v>
      </c>
      <c r="AW58" s="14">
        <f>'SDR Cost Estimate (FY08)'!AW58-'B2C Cost Est (FY08)'!AW58</f>
        <v>0</v>
      </c>
      <c r="AX58" s="14">
        <f>'SDR Cost Estimate (FY08)'!AX58-'B2C Cost Est (FY08)'!AX58</f>
        <v>0</v>
      </c>
      <c r="AY58" s="14">
        <f>'SDR Cost Estimate (FY08)'!AY58-'B2C Cost Est (FY08)'!AY58</f>
        <v>0</v>
      </c>
      <c r="AZ58" s="14">
        <f>'SDR Cost Estimate (FY08)'!AZ58-'B2C Cost Est (FY08)'!AZ58</f>
        <v>0</v>
      </c>
      <c r="BA58" s="14">
        <f>'SDR Cost Estimate (FY08)'!BA58-'B2C Cost Est (FY08)'!BA58</f>
        <v>0</v>
      </c>
      <c r="BB58" s="14">
        <f t="shared" si="24"/>
        <v>0</v>
      </c>
      <c r="BC58" s="16"/>
    </row>
    <row r="59" spans="1:55" ht="12.75" hidden="1">
      <c r="A59" s="23" t="s">
        <v>935</v>
      </c>
      <c r="B59" s="19" t="s">
        <v>936</v>
      </c>
      <c r="C59" s="14">
        <f>'SDR Cost Estimate (FY08)'!C59-'B2C Cost Est (FY08)'!C59</f>
        <v>0</v>
      </c>
      <c r="D59" s="15">
        <f>'SDR Cost Estimate (FY08)'!D59-'B2C Cost Est (FY08)'!D59</f>
        <v>0</v>
      </c>
      <c r="E59" s="14">
        <f>'SDR Cost Estimate (FY08)'!E59-'B2C Cost Est (FY08)'!E59</f>
        <v>0</v>
      </c>
      <c r="F59" s="14">
        <f>'SDR Cost Estimate (FY08)'!F59-'B2C Cost Est (FY08)'!F59</f>
        <v>0</v>
      </c>
      <c r="G59" s="14">
        <f>'SDR Cost Estimate (FY08)'!G59-'B2C Cost Est (FY08)'!G59</f>
        <v>0</v>
      </c>
      <c r="H59" s="14">
        <f>'SDR Cost Estimate (FY08)'!H59-'B2C Cost Est (FY08)'!H59</f>
        <v>0</v>
      </c>
      <c r="I59" s="14">
        <f>'SDR Cost Estimate (FY08)'!I59-'B2C Cost Est (FY08)'!I59</f>
        <v>0</v>
      </c>
      <c r="J59" s="14">
        <f t="shared" si="20"/>
        <v>0</v>
      </c>
      <c r="K59" s="16"/>
      <c r="L59" s="17"/>
      <c r="N59" s="14">
        <f>'SDR Cost Estimate (FY08)'!N59-'B2C Cost Est (FY08)'!N59</f>
        <v>0</v>
      </c>
      <c r="O59" s="15">
        <f>'SDR Cost Estimate (FY08)'!O59-'B2C Cost Est (FY08)'!O59</f>
        <v>0</v>
      </c>
      <c r="P59" s="14">
        <f>'SDR Cost Estimate (FY08)'!P59-'B2C Cost Est (FY08)'!P59</f>
        <v>0</v>
      </c>
      <c r="Q59" s="14">
        <f>'SDR Cost Estimate (FY08)'!Q59-'B2C Cost Est (FY08)'!Q59</f>
        <v>0</v>
      </c>
      <c r="R59" s="14">
        <f>'SDR Cost Estimate (FY08)'!R59-'B2C Cost Est (FY08)'!R59</f>
        <v>0</v>
      </c>
      <c r="S59" s="14">
        <f>'SDR Cost Estimate (FY08)'!S59-'B2C Cost Est (FY08)'!S59</f>
        <v>0</v>
      </c>
      <c r="T59" s="14">
        <f>'SDR Cost Estimate (FY08)'!T59-'B2C Cost Est (FY08)'!T59</f>
        <v>0</v>
      </c>
      <c r="U59" s="14">
        <f t="shared" si="21"/>
        <v>0</v>
      </c>
      <c r="V59" s="16"/>
      <c r="W59" s="17"/>
      <c r="Y59" s="14">
        <f>'SDR Cost Estimate (FY08)'!Y59-'B2C Cost Est (FY08)'!Y59</f>
        <v>0</v>
      </c>
      <c r="Z59" s="15">
        <f>'SDR Cost Estimate (FY08)'!Z59-'B2C Cost Est (FY08)'!Z59</f>
        <v>0</v>
      </c>
      <c r="AA59" s="14">
        <f>'SDR Cost Estimate (FY08)'!AA59-'B2C Cost Est (FY08)'!AA59</f>
        <v>0</v>
      </c>
      <c r="AB59" s="14">
        <f>'SDR Cost Estimate (FY08)'!AB59-'B2C Cost Est (FY08)'!AB59</f>
        <v>0</v>
      </c>
      <c r="AC59" s="14">
        <f>'SDR Cost Estimate (FY08)'!AC59-'B2C Cost Est (FY08)'!AC59</f>
        <v>0</v>
      </c>
      <c r="AD59" s="14">
        <f>'SDR Cost Estimate (FY08)'!AD59-'B2C Cost Est (FY08)'!AD59</f>
        <v>0</v>
      </c>
      <c r="AE59" s="14">
        <f>'SDR Cost Estimate (FY08)'!AE59-'B2C Cost Est (FY08)'!AE59</f>
        <v>0</v>
      </c>
      <c r="AF59" s="14">
        <f t="shared" si="22"/>
        <v>0</v>
      </c>
      <c r="AG59" s="16"/>
      <c r="AH59" s="17"/>
      <c r="AJ59" s="14">
        <f>'SDR Cost Estimate (FY08)'!AJ59-'B2C Cost Est (FY08)'!AJ59</f>
        <v>0</v>
      </c>
      <c r="AK59" s="15">
        <f>'SDR Cost Estimate (FY08)'!AK59-'B2C Cost Est (FY08)'!AK59</f>
        <v>0</v>
      </c>
      <c r="AL59" s="14">
        <f>'SDR Cost Estimate (FY08)'!AL59-'B2C Cost Est (FY08)'!AL59</f>
        <v>0</v>
      </c>
      <c r="AM59" s="14">
        <f>'SDR Cost Estimate (FY08)'!AM59-'B2C Cost Est (FY08)'!AM59</f>
        <v>0</v>
      </c>
      <c r="AN59" s="14">
        <f>'SDR Cost Estimate (FY08)'!AN59-'B2C Cost Est (FY08)'!AN59</f>
        <v>0</v>
      </c>
      <c r="AO59" s="14">
        <f>'SDR Cost Estimate (FY08)'!AO59-'B2C Cost Est (FY08)'!AO59</f>
        <v>0</v>
      </c>
      <c r="AP59" s="14">
        <f>'SDR Cost Estimate (FY08)'!AP59-'B2C Cost Est (FY08)'!AP59</f>
        <v>0</v>
      </c>
      <c r="AQ59" s="14">
        <f t="shared" si="23"/>
        <v>0</v>
      </c>
      <c r="AR59" s="16"/>
      <c r="AS59" s="17"/>
      <c r="AU59" s="14">
        <f>'SDR Cost Estimate (FY08)'!AU59-'B2C Cost Est (FY08)'!AU59</f>
        <v>0</v>
      </c>
      <c r="AV59" s="15">
        <f>'SDR Cost Estimate (FY08)'!AV59-'B2C Cost Est (FY08)'!AV59</f>
        <v>0</v>
      </c>
      <c r="AW59" s="14">
        <f>'SDR Cost Estimate (FY08)'!AW59-'B2C Cost Est (FY08)'!AW59</f>
        <v>0</v>
      </c>
      <c r="AX59" s="14">
        <f>'SDR Cost Estimate (FY08)'!AX59-'B2C Cost Est (FY08)'!AX59</f>
        <v>0</v>
      </c>
      <c r="AY59" s="14">
        <f>'SDR Cost Estimate (FY08)'!AY59-'B2C Cost Est (FY08)'!AY59</f>
        <v>0</v>
      </c>
      <c r="AZ59" s="14">
        <f>'SDR Cost Estimate (FY08)'!AZ59-'B2C Cost Est (FY08)'!AZ59</f>
        <v>0</v>
      </c>
      <c r="BA59" s="14">
        <f>'SDR Cost Estimate (FY08)'!BA59-'B2C Cost Est (FY08)'!BA59</f>
        <v>0</v>
      </c>
      <c r="BB59" s="14">
        <f t="shared" si="24"/>
        <v>0</v>
      </c>
      <c r="BC59" s="16"/>
    </row>
    <row r="60" spans="1:55" ht="12.75" hidden="1">
      <c r="A60" s="23" t="s">
        <v>937</v>
      </c>
      <c r="B60" s="19" t="s">
        <v>938</v>
      </c>
      <c r="C60" s="14">
        <f>'SDR Cost Estimate (FY08)'!C60-'B2C Cost Est (FY08)'!C60</f>
        <v>0</v>
      </c>
      <c r="D60" s="15">
        <f>'SDR Cost Estimate (FY08)'!D60-'B2C Cost Est (FY08)'!D60</f>
        <v>0</v>
      </c>
      <c r="E60" s="14">
        <f>'SDR Cost Estimate (FY08)'!E60-'B2C Cost Est (FY08)'!E60</f>
        <v>0</v>
      </c>
      <c r="F60" s="14">
        <f>'SDR Cost Estimate (FY08)'!F60-'B2C Cost Est (FY08)'!F60</f>
        <v>0</v>
      </c>
      <c r="G60" s="14">
        <f>'SDR Cost Estimate (FY08)'!G60-'B2C Cost Est (FY08)'!G60</f>
        <v>0</v>
      </c>
      <c r="H60" s="14">
        <f>'SDR Cost Estimate (FY08)'!H60-'B2C Cost Est (FY08)'!H60</f>
        <v>0</v>
      </c>
      <c r="I60" s="14">
        <f>'SDR Cost Estimate (FY08)'!I60-'B2C Cost Est (FY08)'!I60</f>
        <v>0</v>
      </c>
      <c r="J60" s="14">
        <f t="shared" si="20"/>
        <v>0</v>
      </c>
      <c r="K60" s="16"/>
      <c r="L60" s="17"/>
      <c r="N60" s="14">
        <f>'SDR Cost Estimate (FY08)'!N60-'B2C Cost Est (FY08)'!N60</f>
        <v>0</v>
      </c>
      <c r="O60" s="15">
        <f>'SDR Cost Estimate (FY08)'!O60-'B2C Cost Est (FY08)'!O60</f>
        <v>0</v>
      </c>
      <c r="P60" s="14">
        <f>'SDR Cost Estimate (FY08)'!P60-'B2C Cost Est (FY08)'!P60</f>
        <v>0</v>
      </c>
      <c r="Q60" s="14">
        <f>'SDR Cost Estimate (FY08)'!Q60-'B2C Cost Est (FY08)'!Q60</f>
        <v>0</v>
      </c>
      <c r="R60" s="14">
        <f>'SDR Cost Estimate (FY08)'!R60-'B2C Cost Est (FY08)'!R60</f>
        <v>0</v>
      </c>
      <c r="S60" s="14">
        <f>'SDR Cost Estimate (FY08)'!S60-'B2C Cost Est (FY08)'!S60</f>
        <v>0</v>
      </c>
      <c r="T60" s="14">
        <f>'SDR Cost Estimate (FY08)'!T60-'B2C Cost Est (FY08)'!T60</f>
        <v>0</v>
      </c>
      <c r="U60" s="14">
        <f t="shared" si="21"/>
        <v>0</v>
      </c>
      <c r="V60" s="16"/>
      <c r="W60" s="17"/>
      <c r="Y60" s="14">
        <f>'SDR Cost Estimate (FY08)'!Y60-'B2C Cost Est (FY08)'!Y60</f>
        <v>0</v>
      </c>
      <c r="Z60" s="15">
        <f>'SDR Cost Estimate (FY08)'!Z60-'B2C Cost Est (FY08)'!Z60</f>
        <v>0</v>
      </c>
      <c r="AA60" s="14">
        <f>'SDR Cost Estimate (FY08)'!AA60-'B2C Cost Est (FY08)'!AA60</f>
        <v>0</v>
      </c>
      <c r="AB60" s="14">
        <f>'SDR Cost Estimate (FY08)'!AB60-'B2C Cost Est (FY08)'!AB60</f>
        <v>0</v>
      </c>
      <c r="AC60" s="14">
        <f>'SDR Cost Estimate (FY08)'!AC60-'B2C Cost Est (FY08)'!AC60</f>
        <v>0</v>
      </c>
      <c r="AD60" s="14">
        <f>'SDR Cost Estimate (FY08)'!AD60-'B2C Cost Est (FY08)'!AD60</f>
        <v>0</v>
      </c>
      <c r="AE60" s="14">
        <f>'SDR Cost Estimate (FY08)'!AE60-'B2C Cost Est (FY08)'!AE60</f>
        <v>0</v>
      </c>
      <c r="AF60" s="14">
        <f t="shared" si="22"/>
        <v>0</v>
      </c>
      <c r="AG60" s="16"/>
      <c r="AH60" s="17"/>
      <c r="AJ60" s="14">
        <f>'SDR Cost Estimate (FY08)'!AJ60-'B2C Cost Est (FY08)'!AJ60</f>
        <v>0</v>
      </c>
      <c r="AK60" s="15">
        <f>'SDR Cost Estimate (FY08)'!AK60-'B2C Cost Est (FY08)'!AK60</f>
        <v>0</v>
      </c>
      <c r="AL60" s="14">
        <f>'SDR Cost Estimate (FY08)'!AL60-'B2C Cost Est (FY08)'!AL60</f>
        <v>0</v>
      </c>
      <c r="AM60" s="14">
        <f>'SDR Cost Estimate (FY08)'!AM60-'B2C Cost Est (FY08)'!AM60</f>
        <v>0</v>
      </c>
      <c r="AN60" s="14">
        <f>'SDR Cost Estimate (FY08)'!AN60-'B2C Cost Est (FY08)'!AN60</f>
        <v>0</v>
      </c>
      <c r="AO60" s="14">
        <f>'SDR Cost Estimate (FY08)'!AO60-'B2C Cost Est (FY08)'!AO60</f>
        <v>0</v>
      </c>
      <c r="AP60" s="14">
        <f>'SDR Cost Estimate (FY08)'!AP60-'B2C Cost Est (FY08)'!AP60</f>
        <v>0</v>
      </c>
      <c r="AQ60" s="14">
        <f t="shared" si="23"/>
        <v>0</v>
      </c>
      <c r="AR60" s="16"/>
      <c r="AS60" s="17"/>
      <c r="AU60" s="14">
        <f>'SDR Cost Estimate (FY08)'!AU60-'B2C Cost Est (FY08)'!AU60</f>
        <v>0</v>
      </c>
      <c r="AV60" s="15">
        <f>'SDR Cost Estimate (FY08)'!AV60-'B2C Cost Est (FY08)'!AV60</f>
        <v>0</v>
      </c>
      <c r="AW60" s="14">
        <f>'SDR Cost Estimate (FY08)'!AW60-'B2C Cost Est (FY08)'!AW60</f>
        <v>0</v>
      </c>
      <c r="AX60" s="14">
        <f>'SDR Cost Estimate (FY08)'!AX60-'B2C Cost Est (FY08)'!AX60</f>
        <v>0</v>
      </c>
      <c r="AY60" s="14">
        <f>'SDR Cost Estimate (FY08)'!AY60-'B2C Cost Est (FY08)'!AY60</f>
        <v>0</v>
      </c>
      <c r="AZ60" s="14">
        <f>'SDR Cost Estimate (FY08)'!AZ60-'B2C Cost Est (FY08)'!AZ60</f>
        <v>0</v>
      </c>
      <c r="BA60" s="14">
        <f>'SDR Cost Estimate (FY08)'!BA60-'B2C Cost Est (FY08)'!BA60</f>
        <v>0</v>
      </c>
      <c r="BB60" s="14">
        <f t="shared" si="24"/>
        <v>0</v>
      </c>
      <c r="BC60" s="16"/>
    </row>
    <row r="61" spans="1:55" ht="12.75" hidden="1">
      <c r="A61" s="23" t="s">
        <v>939</v>
      </c>
      <c r="B61" s="19" t="s">
        <v>940</v>
      </c>
      <c r="C61" s="14">
        <f>'SDR Cost Estimate (FY08)'!C61-'B2C Cost Est (FY08)'!C61</f>
        <v>0</v>
      </c>
      <c r="D61" s="15">
        <f>'SDR Cost Estimate (FY08)'!D61-'B2C Cost Est (FY08)'!D61</f>
        <v>0</v>
      </c>
      <c r="E61" s="14">
        <f>'SDR Cost Estimate (FY08)'!E61-'B2C Cost Est (FY08)'!E61</f>
        <v>0</v>
      </c>
      <c r="F61" s="14">
        <f>'SDR Cost Estimate (FY08)'!F61-'B2C Cost Est (FY08)'!F61</f>
        <v>0</v>
      </c>
      <c r="G61" s="14">
        <f>'SDR Cost Estimate (FY08)'!G61-'B2C Cost Est (FY08)'!G61</f>
        <v>0</v>
      </c>
      <c r="H61" s="14">
        <f>'SDR Cost Estimate (FY08)'!H61-'B2C Cost Est (FY08)'!H61</f>
        <v>0</v>
      </c>
      <c r="I61" s="14">
        <f>'SDR Cost Estimate (FY08)'!I61-'B2C Cost Est (FY08)'!I61</f>
        <v>0</v>
      </c>
      <c r="J61" s="14">
        <f t="shared" si="20"/>
        <v>0</v>
      </c>
      <c r="K61" s="16"/>
      <c r="L61" s="17"/>
      <c r="N61" s="14">
        <f>'SDR Cost Estimate (FY08)'!N61-'B2C Cost Est (FY08)'!N61</f>
        <v>0</v>
      </c>
      <c r="O61" s="15">
        <f>'SDR Cost Estimate (FY08)'!O61-'B2C Cost Est (FY08)'!O61</f>
        <v>0</v>
      </c>
      <c r="P61" s="14">
        <f>'SDR Cost Estimate (FY08)'!P61-'B2C Cost Est (FY08)'!P61</f>
        <v>0</v>
      </c>
      <c r="Q61" s="14">
        <f>'SDR Cost Estimate (FY08)'!Q61-'B2C Cost Est (FY08)'!Q61</f>
        <v>0</v>
      </c>
      <c r="R61" s="14">
        <f>'SDR Cost Estimate (FY08)'!R61-'B2C Cost Est (FY08)'!R61</f>
        <v>0</v>
      </c>
      <c r="S61" s="14">
        <f>'SDR Cost Estimate (FY08)'!S61-'B2C Cost Est (FY08)'!S61</f>
        <v>0</v>
      </c>
      <c r="T61" s="14">
        <f>'SDR Cost Estimate (FY08)'!T61-'B2C Cost Est (FY08)'!T61</f>
        <v>0</v>
      </c>
      <c r="U61" s="14">
        <f t="shared" si="21"/>
        <v>0</v>
      </c>
      <c r="V61" s="16"/>
      <c r="W61" s="17"/>
      <c r="Y61" s="14">
        <f>'SDR Cost Estimate (FY08)'!Y61-'B2C Cost Est (FY08)'!Y61</f>
        <v>0</v>
      </c>
      <c r="Z61" s="15">
        <f>'SDR Cost Estimate (FY08)'!Z61-'B2C Cost Est (FY08)'!Z61</f>
        <v>0</v>
      </c>
      <c r="AA61" s="14">
        <f>'SDR Cost Estimate (FY08)'!AA61-'B2C Cost Est (FY08)'!AA61</f>
        <v>0</v>
      </c>
      <c r="AB61" s="14">
        <f>'SDR Cost Estimate (FY08)'!AB61-'B2C Cost Est (FY08)'!AB61</f>
        <v>0</v>
      </c>
      <c r="AC61" s="14">
        <f>'SDR Cost Estimate (FY08)'!AC61-'B2C Cost Est (FY08)'!AC61</f>
        <v>0</v>
      </c>
      <c r="AD61" s="14">
        <f>'SDR Cost Estimate (FY08)'!AD61-'B2C Cost Est (FY08)'!AD61</f>
        <v>0</v>
      </c>
      <c r="AE61" s="14">
        <f>'SDR Cost Estimate (FY08)'!AE61-'B2C Cost Est (FY08)'!AE61</f>
        <v>0</v>
      </c>
      <c r="AF61" s="14">
        <f t="shared" si="22"/>
        <v>0</v>
      </c>
      <c r="AG61" s="16"/>
      <c r="AH61" s="17"/>
      <c r="AJ61" s="14">
        <f>'SDR Cost Estimate (FY08)'!AJ61-'B2C Cost Est (FY08)'!AJ61</f>
        <v>0</v>
      </c>
      <c r="AK61" s="15">
        <f>'SDR Cost Estimate (FY08)'!AK61-'B2C Cost Est (FY08)'!AK61</f>
        <v>0</v>
      </c>
      <c r="AL61" s="14">
        <f>'SDR Cost Estimate (FY08)'!AL61-'B2C Cost Est (FY08)'!AL61</f>
        <v>0</v>
      </c>
      <c r="AM61" s="14">
        <f>'SDR Cost Estimate (FY08)'!AM61-'B2C Cost Est (FY08)'!AM61</f>
        <v>0</v>
      </c>
      <c r="AN61" s="14">
        <f>'SDR Cost Estimate (FY08)'!AN61-'B2C Cost Est (FY08)'!AN61</f>
        <v>0</v>
      </c>
      <c r="AO61" s="14">
        <f>'SDR Cost Estimate (FY08)'!AO61-'B2C Cost Est (FY08)'!AO61</f>
        <v>0</v>
      </c>
      <c r="AP61" s="14">
        <f>'SDR Cost Estimate (FY08)'!AP61-'B2C Cost Est (FY08)'!AP61</f>
        <v>0</v>
      </c>
      <c r="AQ61" s="14">
        <f t="shared" si="23"/>
        <v>0</v>
      </c>
      <c r="AR61" s="16"/>
      <c r="AS61" s="17"/>
      <c r="AU61" s="14">
        <f>'SDR Cost Estimate (FY08)'!AU61-'B2C Cost Est (FY08)'!AU61</f>
        <v>0</v>
      </c>
      <c r="AV61" s="15">
        <f>'SDR Cost Estimate (FY08)'!AV61-'B2C Cost Est (FY08)'!AV61</f>
        <v>0</v>
      </c>
      <c r="AW61" s="14">
        <f>'SDR Cost Estimate (FY08)'!AW61-'B2C Cost Est (FY08)'!AW61</f>
        <v>0</v>
      </c>
      <c r="AX61" s="14">
        <f>'SDR Cost Estimate (FY08)'!AX61-'B2C Cost Est (FY08)'!AX61</f>
        <v>0</v>
      </c>
      <c r="AY61" s="14">
        <f>'SDR Cost Estimate (FY08)'!AY61-'B2C Cost Est (FY08)'!AY61</f>
        <v>0</v>
      </c>
      <c r="AZ61" s="14">
        <f>'SDR Cost Estimate (FY08)'!AZ61-'B2C Cost Est (FY08)'!AZ61</f>
        <v>0</v>
      </c>
      <c r="BA61" s="14">
        <f>'SDR Cost Estimate (FY08)'!BA61-'B2C Cost Est (FY08)'!BA61</f>
        <v>0</v>
      </c>
      <c r="BB61" s="14">
        <f t="shared" si="24"/>
        <v>0</v>
      </c>
      <c r="BC61" s="16"/>
    </row>
    <row r="62" spans="1:55" ht="12.75" hidden="1">
      <c r="A62" s="13">
        <v>4.5</v>
      </c>
      <c r="B62" s="19" t="s">
        <v>941</v>
      </c>
      <c r="K62" s="22"/>
      <c r="V62" s="22"/>
      <c r="AG62" s="22"/>
      <c r="AR62" s="22"/>
      <c r="BC62" s="22"/>
    </row>
    <row r="63" spans="1:55" ht="12.75" hidden="1">
      <c r="A63" s="23" t="s">
        <v>942</v>
      </c>
      <c r="B63" s="19" t="s">
        <v>943</v>
      </c>
      <c r="C63" s="14">
        <f>'SDR Cost Estimate (FY08)'!C63-'B2C Cost Est (FY08)'!C63</f>
        <v>0</v>
      </c>
      <c r="D63" s="15">
        <f>'SDR Cost Estimate (FY08)'!D63-'B2C Cost Est (FY08)'!D63</f>
        <v>0</v>
      </c>
      <c r="E63" s="14">
        <f>'SDR Cost Estimate (FY08)'!E63-'B2C Cost Est (FY08)'!E63</f>
        <v>0</v>
      </c>
      <c r="F63" s="14">
        <f>'SDR Cost Estimate (FY08)'!F63-'B2C Cost Est (FY08)'!F63</f>
        <v>0</v>
      </c>
      <c r="G63" s="14">
        <f>'SDR Cost Estimate (FY08)'!G63-'B2C Cost Est (FY08)'!G63</f>
        <v>126.33333333333348</v>
      </c>
      <c r="H63" s="14">
        <f>'SDR Cost Estimate (FY08)'!H63-'B2C Cost Est (FY08)'!H63</f>
        <v>0</v>
      </c>
      <c r="I63" s="14">
        <f>'SDR Cost Estimate (FY08)'!I63-'B2C Cost Est (FY08)'!I63</f>
        <v>35.373334610298514</v>
      </c>
      <c r="J63" s="14">
        <f>SUM(F63:I63)</f>
        <v>161.706667943632</v>
      </c>
      <c r="K63" s="16"/>
      <c r="L63" s="17"/>
      <c r="N63" s="14">
        <f>'SDR Cost Estimate (FY08)'!N63-'B2C Cost Est (FY08)'!N63</f>
        <v>0</v>
      </c>
      <c r="O63" s="15">
        <f>'SDR Cost Estimate (FY08)'!O63-'B2C Cost Est (FY08)'!O63</f>
        <v>0</v>
      </c>
      <c r="P63" s="14">
        <f>'SDR Cost Estimate (FY08)'!P63-'B2C Cost Est (FY08)'!P63</f>
        <v>0</v>
      </c>
      <c r="Q63" s="14">
        <f>'SDR Cost Estimate (FY08)'!Q63-'B2C Cost Est (FY08)'!Q63</f>
        <v>0</v>
      </c>
      <c r="R63" s="14">
        <f>'SDR Cost Estimate (FY08)'!R63-'B2C Cost Est (FY08)'!R63</f>
        <v>0</v>
      </c>
      <c r="S63" s="14">
        <f>'SDR Cost Estimate (FY08)'!S63-'B2C Cost Est (FY08)'!S63</f>
        <v>0</v>
      </c>
      <c r="T63" s="14">
        <f>'SDR Cost Estimate (FY08)'!T63-'B2C Cost Est (FY08)'!T63</f>
        <v>0</v>
      </c>
      <c r="U63" s="14">
        <f>SUM(Q63:T63)</f>
        <v>0</v>
      </c>
      <c r="V63" s="16"/>
      <c r="W63" s="17"/>
      <c r="Y63" s="14">
        <f>'SDR Cost Estimate (FY08)'!Y63-'B2C Cost Est (FY08)'!Y63</f>
        <v>0</v>
      </c>
      <c r="Z63" s="15">
        <f>'SDR Cost Estimate (FY08)'!Z63-'B2C Cost Est (FY08)'!Z63</f>
        <v>0</v>
      </c>
      <c r="AA63" s="14">
        <f>'SDR Cost Estimate (FY08)'!AA63-'B2C Cost Est (FY08)'!AA63</f>
        <v>0</v>
      </c>
      <c r="AB63" s="14">
        <f>'SDR Cost Estimate (FY08)'!AB63-'B2C Cost Est (FY08)'!AB63</f>
        <v>0</v>
      </c>
      <c r="AC63" s="14">
        <f>'SDR Cost Estimate (FY08)'!AC63-'B2C Cost Est (FY08)'!AC63</f>
        <v>0</v>
      </c>
      <c r="AD63" s="14">
        <f>'SDR Cost Estimate (FY08)'!AD63-'B2C Cost Est (FY08)'!AD63</f>
        <v>0</v>
      </c>
      <c r="AE63" s="14">
        <f>'SDR Cost Estimate (FY08)'!AE63-'B2C Cost Est (FY08)'!AE63</f>
        <v>0</v>
      </c>
      <c r="AF63" s="14">
        <f>SUM(AB63:AE63)</f>
        <v>0</v>
      </c>
      <c r="AG63" s="16"/>
      <c r="AH63" s="17"/>
      <c r="AJ63" s="14">
        <f>'SDR Cost Estimate (FY08)'!AJ63-'B2C Cost Est (FY08)'!AJ63</f>
        <v>0</v>
      </c>
      <c r="AK63" s="15">
        <f>'SDR Cost Estimate (FY08)'!AK63-'B2C Cost Est (FY08)'!AK63</f>
        <v>0</v>
      </c>
      <c r="AL63" s="14">
        <f>'SDR Cost Estimate (FY08)'!AL63-'B2C Cost Est (FY08)'!AL63</f>
        <v>0</v>
      </c>
      <c r="AM63" s="14">
        <f>'SDR Cost Estimate (FY08)'!AM63-'B2C Cost Est (FY08)'!AM63</f>
        <v>0</v>
      </c>
      <c r="AN63" s="14">
        <f>'SDR Cost Estimate (FY08)'!AN63-'B2C Cost Est (FY08)'!AN63</f>
        <v>126.33333333333337</v>
      </c>
      <c r="AO63" s="14">
        <f>'SDR Cost Estimate (FY08)'!AO63-'B2C Cost Est (FY08)'!AO63</f>
        <v>0</v>
      </c>
      <c r="AP63" s="14">
        <f>'SDR Cost Estimate (FY08)'!AP63-'B2C Cost Est (FY08)'!AP63</f>
        <v>35.373334610298514</v>
      </c>
      <c r="AQ63" s="14">
        <f>SUM(AM63:AP63)</f>
        <v>161.70666794363189</v>
      </c>
      <c r="AR63" s="16"/>
      <c r="AS63" s="17"/>
      <c r="AU63" s="14">
        <f>'SDR Cost Estimate (FY08)'!AU63-'B2C Cost Est (FY08)'!AU63</f>
        <v>0</v>
      </c>
      <c r="AV63" s="15">
        <f>'SDR Cost Estimate (FY08)'!AV63-'B2C Cost Est (FY08)'!AV63</f>
        <v>0</v>
      </c>
      <c r="AW63" s="14">
        <f>'SDR Cost Estimate (FY08)'!AW63-'B2C Cost Est (FY08)'!AW63</f>
        <v>0</v>
      </c>
      <c r="AX63" s="14">
        <f>'SDR Cost Estimate (FY08)'!AX63-'B2C Cost Est (FY08)'!AX63</f>
        <v>0</v>
      </c>
      <c r="AY63" s="14">
        <f>'SDR Cost Estimate (FY08)'!AY63-'B2C Cost Est (FY08)'!AY63</f>
        <v>0</v>
      </c>
      <c r="AZ63" s="14">
        <f>'SDR Cost Estimate (FY08)'!AZ63-'B2C Cost Est (FY08)'!AZ63</f>
        <v>0</v>
      </c>
      <c r="BA63" s="14">
        <f>'SDR Cost Estimate (FY08)'!BA63-'B2C Cost Est (FY08)'!BA63</f>
        <v>0</v>
      </c>
      <c r="BB63" s="14">
        <f>SUM(AX63:BA63)</f>
        <v>0</v>
      </c>
      <c r="BC63" s="16"/>
    </row>
    <row r="64" spans="1:55" ht="12.75" hidden="1">
      <c r="A64" s="23" t="s">
        <v>944</v>
      </c>
      <c r="B64" s="19" t="s">
        <v>945</v>
      </c>
      <c r="C64" s="14">
        <f>'SDR Cost Estimate (FY08)'!C64-'B2C Cost Est (FY08)'!C64</f>
        <v>0</v>
      </c>
      <c r="D64" s="15">
        <f>'SDR Cost Estimate (FY08)'!D64-'B2C Cost Est (FY08)'!D64</f>
        <v>0</v>
      </c>
      <c r="E64" s="14">
        <f>'SDR Cost Estimate (FY08)'!E64-'B2C Cost Est (FY08)'!E64</f>
        <v>0</v>
      </c>
      <c r="F64" s="14">
        <f>'SDR Cost Estimate (FY08)'!F64-'B2C Cost Est (FY08)'!F64</f>
        <v>0</v>
      </c>
      <c r="G64" s="14">
        <f>'SDR Cost Estimate (FY08)'!G64-'B2C Cost Est (FY08)'!G64</f>
        <v>-225</v>
      </c>
      <c r="H64" s="14">
        <f>'SDR Cost Estimate (FY08)'!H64-'B2C Cost Est (FY08)'!H64</f>
        <v>0</v>
      </c>
      <c r="I64" s="14">
        <f>'SDR Cost Estimate (FY08)'!I64-'B2C Cost Est (FY08)'!I64</f>
        <v>-44.9999952505965</v>
      </c>
      <c r="J64" s="14">
        <f>SUM(F64:I64)</f>
        <v>-269.9999952505965</v>
      </c>
      <c r="K64" s="16"/>
      <c r="L64" s="17"/>
      <c r="N64" s="14">
        <f>'SDR Cost Estimate (FY08)'!N64-'B2C Cost Est (FY08)'!N64</f>
        <v>0</v>
      </c>
      <c r="O64" s="15">
        <f>'SDR Cost Estimate (FY08)'!O64-'B2C Cost Est (FY08)'!O64</f>
        <v>0</v>
      </c>
      <c r="P64" s="14">
        <f>'SDR Cost Estimate (FY08)'!P64-'B2C Cost Est (FY08)'!P64</f>
        <v>0</v>
      </c>
      <c r="Q64" s="14">
        <f>'SDR Cost Estimate (FY08)'!Q64-'B2C Cost Est (FY08)'!Q64</f>
        <v>0</v>
      </c>
      <c r="R64" s="14">
        <f>'SDR Cost Estimate (FY08)'!R64-'B2C Cost Est (FY08)'!R64</f>
        <v>0</v>
      </c>
      <c r="S64" s="14">
        <f>'SDR Cost Estimate (FY08)'!S64-'B2C Cost Est (FY08)'!S64</f>
        <v>0</v>
      </c>
      <c r="T64" s="14">
        <f>'SDR Cost Estimate (FY08)'!T64-'B2C Cost Est (FY08)'!T64</f>
        <v>0</v>
      </c>
      <c r="U64" s="14">
        <f>SUM(Q64:T64)</f>
        <v>0</v>
      </c>
      <c r="V64" s="16"/>
      <c r="W64" s="17"/>
      <c r="Y64" s="14">
        <f>'SDR Cost Estimate (FY08)'!Y64-'B2C Cost Est (FY08)'!Y64</f>
        <v>0</v>
      </c>
      <c r="Z64" s="15">
        <f>'SDR Cost Estimate (FY08)'!Z64-'B2C Cost Est (FY08)'!Z64</f>
        <v>0</v>
      </c>
      <c r="AA64" s="14">
        <f>'SDR Cost Estimate (FY08)'!AA64-'B2C Cost Est (FY08)'!AA64</f>
        <v>0</v>
      </c>
      <c r="AB64" s="14">
        <f>'SDR Cost Estimate (FY08)'!AB64-'B2C Cost Est (FY08)'!AB64</f>
        <v>0</v>
      </c>
      <c r="AC64" s="14">
        <f>'SDR Cost Estimate (FY08)'!AC64-'B2C Cost Est (FY08)'!AC64</f>
        <v>0</v>
      </c>
      <c r="AD64" s="14">
        <f>'SDR Cost Estimate (FY08)'!AD64-'B2C Cost Est (FY08)'!AD64</f>
        <v>0</v>
      </c>
      <c r="AE64" s="14">
        <f>'SDR Cost Estimate (FY08)'!AE64-'B2C Cost Est (FY08)'!AE64</f>
        <v>0</v>
      </c>
      <c r="AF64" s="14">
        <f>SUM(AB64:AE64)</f>
        <v>0</v>
      </c>
      <c r="AG64" s="16"/>
      <c r="AH64" s="17"/>
      <c r="AJ64" s="14">
        <f>'SDR Cost Estimate (FY08)'!AJ64-'B2C Cost Est (FY08)'!AJ64</f>
        <v>0</v>
      </c>
      <c r="AK64" s="15">
        <f>'SDR Cost Estimate (FY08)'!AK64-'B2C Cost Est (FY08)'!AK64</f>
        <v>0</v>
      </c>
      <c r="AL64" s="14">
        <f>'SDR Cost Estimate (FY08)'!AL64-'B2C Cost Est (FY08)'!AL64</f>
        <v>0</v>
      </c>
      <c r="AM64" s="14">
        <f>'SDR Cost Estimate (FY08)'!AM64-'B2C Cost Est (FY08)'!AM64</f>
        <v>0</v>
      </c>
      <c r="AN64" s="14">
        <f>'SDR Cost Estimate (FY08)'!AN64-'B2C Cost Est (FY08)'!AN64</f>
        <v>-225</v>
      </c>
      <c r="AO64" s="14">
        <f>'SDR Cost Estimate (FY08)'!AO64-'B2C Cost Est (FY08)'!AO64</f>
        <v>0</v>
      </c>
      <c r="AP64" s="14">
        <f>'SDR Cost Estimate (FY08)'!AP64-'B2C Cost Est (FY08)'!AP64</f>
        <v>-44.9999952505965</v>
      </c>
      <c r="AQ64" s="14">
        <f>SUM(AM64:AP64)</f>
        <v>-269.9999952505965</v>
      </c>
      <c r="AR64" s="16"/>
      <c r="AS64" s="17"/>
      <c r="AU64" s="14">
        <f>'SDR Cost Estimate (FY08)'!AU64-'B2C Cost Est (FY08)'!AU64</f>
        <v>0</v>
      </c>
      <c r="AV64" s="15">
        <f>'SDR Cost Estimate (FY08)'!AV64-'B2C Cost Est (FY08)'!AV64</f>
        <v>0</v>
      </c>
      <c r="AW64" s="14">
        <f>'SDR Cost Estimate (FY08)'!AW64-'B2C Cost Est (FY08)'!AW64</f>
        <v>0</v>
      </c>
      <c r="AX64" s="14">
        <f>'SDR Cost Estimate (FY08)'!AX64-'B2C Cost Est (FY08)'!AX64</f>
        <v>0</v>
      </c>
      <c r="AY64" s="14">
        <f>'SDR Cost Estimate (FY08)'!AY64-'B2C Cost Est (FY08)'!AY64</f>
        <v>0</v>
      </c>
      <c r="AZ64" s="14">
        <f>'SDR Cost Estimate (FY08)'!AZ64-'B2C Cost Est (FY08)'!AZ64</f>
        <v>0</v>
      </c>
      <c r="BA64" s="14">
        <f>'SDR Cost Estimate (FY08)'!BA64-'B2C Cost Est (FY08)'!BA64</f>
        <v>0</v>
      </c>
      <c r="BB64" s="14">
        <f>SUM(AX64:BA64)</f>
        <v>0</v>
      </c>
      <c r="BC64" s="16"/>
    </row>
    <row r="65" spans="1:55" ht="12.75" hidden="1">
      <c r="A65" s="13">
        <v>4.6</v>
      </c>
      <c r="B65" s="19" t="s">
        <v>946</v>
      </c>
      <c r="C65" s="14">
        <f>'SDR Cost Estimate (FY08)'!C65-'B2C Cost Est (FY08)'!C65</f>
        <v>0</v>
      </c>
      <c r="D65" s="15">
        <f>'SDR Cost Estimate (FY08)'!D65-'B2C Cost Est (FY08)'!D65</f>
        <v>0</v>
      </c>
      <c r="E65" s="14">
        <f>'SDR Cost Estimate (FY08)'!E65-'B2C Cost Est (FY08)'!E65</f>
        <v>0</v>
      </c>
      <c r="F65" s="14">
        <f>'SDR Cost Estimate (FY08)'!F65-'B2C Cost Est (FY08)'!F65</f>
        <v>0</v>
      </c>
      <c r="G65" s="14">
        <f>'SDR Cost Estimate (FY08)'!G65-'B2C Cost Est (FY08)'!G65</f>
        <v>0</v>
      </c>
      <c r="H65" s="14">
        <f>'SDR Cost Estimate (FY08)'!H65-'B2C Cost Est (FY08)'!H65</f>
        <v>0</v>
      </c>
      <c r="I65" s="14">
        <f>'SDR Cost Estimate (FY08)'!I65-'B2C Cost Est (FY08)'!I65</f>
        <v>0</v>
      </c>
      <c r="J65" s="14">
        <f>SUM(F65:I65)</f>
        <v>0</v>
      </c>
      <c r="K65" s="16"/>
      <c r="L65" s="17"/>
      <c r="N65" s="14">
        <f>'SDR Cost Estimate (FY08)'!N65-'B2C Cost Est (FY08)'!N65</f>
        <v>0</v>
      </c>
      <c r="O65" s="15">
        <f>'SDR Cost Estimate (FY08)'!O65-'B2C Cost Est (FY08)'!O65</f>
        <v>0</v>
      </c>
      <c r="P65" s="14">
        <f>'SDR Cost Estimate (FY08)'!P65-'B2C Cost Est (FY08)'!P65</f>
        <v>0</v>
      </c>
      <c r="Q65" s="14">
        <f>'SDR Cost Estimate (FY08)'!Q65-'B2C Cost Est (FY08)'!Q65</f>
        <v>0</v>
      </c>
      <c r="R65" s="14">
        <f>'SDR Cost Estimate (FY08)'!R65-'B2C Cost Est (FY08)'!R65</f>
        <v>0</v>
      </c>
      <c r="S65" s="14">
        <f>'SDR Cost Estimate (FY08)'!S65-'B2C Cost Est (FY08)'!S65</f>
        <v>0</v>
      </c>
      <c r="T65" s="14">
        <f>'SDR Cost Estimate (FY08)'!T65-'B2C Cost Est (FY08)'!T65</f>
        <v>0</v>
      </c>
      <c r="U65" s="14">
        <f>SUM(Q65:T65)</f>
        <v>0</v>
      </c>
      <c r="V65" s="16"/>
      <c r="W65" s="17"/>
      <c r="Y65" s="14">
        <f>'SDR Cost Estimate (FY08)'!Y65-'B2C Cost Est (FY08)'!Y65</f>
        <v>0</v>
      </c>
      <c r="Z65" s="15">
        <f>'SDR Cost Estimate (FY08)'!Z65-'B2C Cost Est (FY08)'!Z65</f>
        <v>0</v>
      </c>
      <c r="AA65" s="14">
        <f>'SDR Cost Estimate (FY08)'!AA65-'B2C Cost Est (FY08)'!AA65</f>
        <v>0</v>
      </c>
      <c r="AB65" s="14">
        <f>'SDR Cost Estimate (FY08)'!AB65-'B2C Cost Est (FY08)'!AB65</f>
        <v>0</v>
      </c>
      <c r="AC65" s="14">
        <f>'SDR Cost Estimate (FY08)'!AC65-'B2C Cost Est (FY08)'!AC65</f>
        <v>0</v>
      </c>
      <c r="AD65" s="14">
        <f>'SDR Cost Estimate (FY08)'!AD65-'B2C Cost Est (FY08)'!AD65</f>
        <v>0</v>
      </c>
      <c r="AE65" s="14">
        <f>'SDR Cost Estimate (FY08)'!AE65-'B2C Cost Est (FY08)'!AE65</f>
        <v>0</v>
      </c>
      <c r="AF65" s="14">
        <f>SUM(AB65:AE65)</f>
        <v>0</v>
      </c>
      <c r="AG65" s="16"/>
      <c r="AH65" s="17"/>
      <c r="AJ65" s="14">
        <f>'SDR Cost Estimate (FY08)'!AJ65-'B2C Cost Est (FY08)'!AJ65</f>
        <v>0</v>
      </c>
      <c r="AK65" s="15">
        <f>'SDR Cost Estimate (FY08)'!AK65-'B2C Cost Est (FY08)'!AK65</f>
        <v>0</v>
      </c>
      <c r="AL65" s="14">
        <f>'SDR Cost Estimate (FY08)'!AL65-'B2C Cost Est (FY08)'!AL65</f>
        <v>0</v>
      </c>
      <c r="AM65" s="14">
        <f>'SDR Cost Estimate (FY08)'!AM65-'B2C Cost Est (FY08)'!AM65</f>
        <v>0</v>
      </c>
      <c r="AN65" s="14">
        <f>'SDR Cost Estimate (FY08)'!AN65-'B2C Cost Est (FY08)'!AN65</f>
        <v>0</v>
      </c>
      <c r="AO65" s="14">
        <f>'SDR Cost Estimate (FY08)'!AO65-'B2C Cost Est (FY08)'!AO65</f>
        <v>0</v>
      </c>
      <c r="AP65" s="14">
        <f>'SDR Cost Estimate (FY08)'!AP65-'B2C Cost Est (FY08)'!AP65</f>
        <v>0</v>
      </c>
      <c r="AQ65" s="14">
        <f>SUM(AM65:AP65)</f>
        <v>0</v>
      </c>
      <c r="AR65" s="16"/>
      <c r="AS65" s="17"/>
      <c r="AU65" s="14">
        <f>'SDR Cost Estimate (FY08)'!AU65-'B2C Cost Est (FY08)'!AU65</f>
        <v>0</v>
      </c>
      <c r="AV65" s="15">
        <f>'SDR Cost Estimate (FY08)'!AV65-'B2C Cost Est (FY08)'!AV65</f>
        <v>0</v>
      </c>
      <c r="AW65" s="14">
        <f>'SDR Cost Estimate (FY08)'!AW65-'B2C Cost Est (FY08)'!AW65</f>
        <v>0</v>
      </c>
      <c r="AX65" s="14">
        <f>'SDR Cost Estimate (FY08)'!AX65-'B2C Cost Est (FY08)'!AX65</f>
        <v>0</v>
      </c>
      <c r="AY65" s="14">
        <f>'SDR Cost Estimate (FY08)'!AY65-'B2C Cost Est (FY08)'!AY65</f>
        <v>0</v>
      </c>
      <c r="AZ65" s="14">
        <f>'SDR Cost Estimate (FY08)'!AZ65-'B2C Cost Est (FY08)'!AZ65</f>
        <v>0</v>
      </c>
      <c r="BA65" s="14">
        <f>'SDR Cost Estimate (FY08)'!BA65-'B2C Cost Est (FY08)'!BA65</f>
        <v>0</v>
      </c>
      <c r="BB65" s="14">
        <f>SUM(AX65:BA65)</f>
        <v>0</v>
      </c>
      <c r="BC65" s="16"/>
    </row>
    <row r="66" spans="1:56" ht="12.75">
      <c r="A66" s="8">
        <v>5</v>
      </c>
      <c r="B66" s="9" t="s">
        <v>947</v>
      </c>
      <c r="C66" s="25"/>
      <c r="D66" s="25"/>
      <c r="E66" s="25"/>
      <c r="F66" s="25"/>
      <c r="G66" s="25"/>
      <c r="H66" s="25"/>
      <c r="I66" s="25"/>
      <c r="J66" s="25"/>
      <c r="K66" s="11">
        <f>L66/L$108</f>
        <v>-0.1010507741891291</v>
      </c>
      <c r="L66" s="12">
        <f>SUM(J67:J72)</f>
        <v>-215.6015024035263</v>
      </c>
      <c r="N66" s="25"/>
      <c r="O66" s="25"/>
      <c r="P66" s="25"/>
      <c r="Q66" s="25"/>
      <c r="R66" s="25"/>
      <c r="S66" s="25"/>
      <c r="T66" s="25"/>
      <c r="U66" s="25"/>
      <c r="V66" s="25"/>
      <c r="W66" s="12">
        <f>SUM(U67:U72)</f>
        <v>1.5046120260819862E-07</v>
      </c>
      <c r="Y66" s="25"/>
      <c r="Z66" s="25"/>
      <c r="AA66" s="25"/>
      <c r="AB66" s="25"/>
      <c r="AC66" s="25"/>
      <c r="AD66" s="25"/>
      <c r="AE66" s="25"/>
      <c r="AF66" s="25"/>
      <c r="AG66" s="25"/>
      <c r="AH66" s="12">
        <f>SUM(AF67:AF72)</f>
        <v>-129.31955564375835</v>
      </c>
      <c r="AJ66" s="25"/>
      <c r="AK66" s="25"/>
      <c r="AL66" s="25"/>
      <c r="AM66" s="25"/>
      <c r="AN66" s="25"/>
      <c r="AO66" s="25"/>
      <c r="AP66" s="25"/>
      <c r="AQ66" s="25"/>
      <c r="AR66" s="25"/>
      <c r="AS66" s="12">
        <f>SUM(AQ67:AQ72)</f>
        <v>-64.43917896422211</v>
      </c>
      <c r="AU66" s="25"/>
      <c r="AV66" s="25"/>
      <c r="AW66" s="25"/>
      <c r="AX66" s="25"/>
      <c r="AY66" s="25"/>
      <c r="AZ66" s="25"/>
      <c r="BA66" s="25"/>
      <c r="BB66" s="25"/>
      <c r="BC66" s="25"/>
      <c r="BD66" s="12">
        <f>SUM(BB67:BB72)</f>
        <v>-21.84276794600646</v>
      </c>
    </row>
    <row r="67" spans="1:55" ht="12.75">
      <c r="A67" s="13">
        <v>5.1</v>
      </c>
      <c r="B67" s="19" t="s">
        <v>948</v>
      </c>
      <c r="C67" s="14">
        <f>'SDR Cost Estimate (FY08)'!C67-'B2C Cost Est (FY08)'!C67</f>
        <v>0</v>
      </c>
      <c r="D67" s="15">
        <f>'SDR Cost Estimate (FY08)'!D67-'B2C Cost Est (FY08)'!D67</f>
        <v>0</v>
      </c>
      <c r="E67" s="14">
        <f>'SDR Cost Estimate (FY08)'!E67-'B2C Cost Est (FY08)'!E67</f>
        <v>0</v>
      </c>
      <c r="F67" s="14">
        <f>'SDR Cost Estimate (FY08)'!F67-'B2C Cost Est (FY08)'!F67</f>
        <v>0</v>
      </c>
      <c r="G67" s="14">
        <f>'SDR Cost Estimate (FY08)'!G67-'B2C Cost Est (FY08)'!G67</f>
        <v>0</v>
      </c>
      <c r="H67" s="14">
        <f>'SDR Cost Estimate (FY08)'!H67-'B2C Cost Est (FY08)'!H67</f>
        <v>0</v>
      </c>
      <c r="I67" s="14">
        <f>'SDR Cost Estimate (FY08)'!I67-'B2C Cost Est (FY08)'!I67</f>
        <v>0</v>
      </c>
      <c r="J67" s="14">
        <f aca="true" t="shared" si="25" ref="J67:J72">SUM(F67:I67)</f>
        <v>0</v>
      </c>
      <c r="K67" s="16"/>
      <c r="L67" s="17"/>
      <c r="N67" s="14">
        <f>'SDR Cost Estimate (FY08)'!N67-'B2C Cost Est (FY08)'!N67</f>
        <v>0</v>
      </c>
      <c r="O67" s="15">
        <f>'SDR Cost Estimate (FY08)'!O67-'B2C Cost Est (FY08)'!O67</f>
        <v>0</v>
      </c>
      <c r="P67" s="14">
        <f>'SDR Cost Estimate (FY08)'!P67-'B2C Cost Est (FY08)'!P67</f>
        <v>0</v>
      </c>
      <c r="Q67" s="14">
        <f>'SDR Cost Estimate (FY08)'!Q67-'B2C Cost Est (FY08)'!Q67</f>
        <v>0</v>
      </c>
      <c r="R67" s="14">
        <f>'SDR Cost Estimate (FY08)'!R67-'B2C Cost Est (FY08)'!R67</f>
        <v>0</v>
      </c>
      <c r="S67" s="14">
        <f>'SDR Cost Estimate (FY08)'!S67-'B2C Cost Est (FY08)'!S67</f>
        <v>0</v>
      </c>
      <c r="T67" s="14">
        <f>'SDR Cost Estimate (FY08)'!T67-'B2C Cost Est (FY08)'!T67</f>
        <v>0</v>
      </c>
      <c r="U67" s="14">
        <f aca="true" t="shared" si="26" ref="U67:U72">SUM(Q67:T67)</f>
        <v>0</v>
      </c>
      <c r="V67" s="16"/>
      <c r="W67" s="17"/>
      <c r="Y67" s="14">
        <f>'SDR Cost Estimate (FY08)'!Y67-'B2C Cost Est (FY08)'!Y67</f>
        <v>0</v>
      </c>
      <c r="Z67" s="15">
        <f>'SDR Cost Estimate (FY08)'!Z67-'B2C Cost Est (FY08)'!Z67</f>
        <v>0</v>
      </c>
      <c r="AA67" s="14">
        <f>'SDR Cost Estimate (FY08)'!AA67-'B2C Cost Est (FY08)'!AA67</f>
        <v>0</v>
      </c>
      <c r="AB67" s="14">
        <f>'SDR Cost Estimate (FY08)'!AB67-'B2C Cost Est (FY08)'!AB67</f>
        <v>0</v>
      </c>
      <c r="AC67" s="14">
        <f>'SDR Cost Estimate (FY08)'!AC67-'B2C Cost Est (FY08)'!AC67</f>
        <v>0</v>
      </c>
      <c r="AD67" s="14">
        <f>'SDR Cost Estimate (FY08)'!AD67-'B2C Cost Est (FY08)'!AD67</f>
        <v>0</v>
      </c>
      <c r="AE67" s="14">
        <f>'SDR Cost Estimate (FY08)'!AE67-'B2C Cost Est (FY08)'!AE67</f>
        <v>0</v>
      </c>
      <c r="AF67" s="14">
        <f aca="true" t="shared" si="27" ref="AF67:AF72">SUM(AB67:AE67)</f>
        <v>0</v>
      </c>
      <c r="AG67" s="16"/>
      <c r="AH67" s="17"/>
      <c r="AJ67" s="14">
        <f>'SDR Cost Estimate (FY08)'!AJ67-'B2C Cost Est (FY08)'!AJ67</f>
        <v>0</v>
      </c>
      <c r="AK67" s="15">
        <f>'SDR Cost Estimate (FY08)'!AK67-'B2C Cost Est (FY08)'!AK67</f>
        <v>0</v>
      </c>
      <c r="AL67" s="14">
        <f>'SDR Cost Estimate (FY08)'!AL67-'B2C Cost Est (FY08)'!AL67</f>
        <v>0</v>
      </c>
      <c r="AM67" s="14">
        <f>'SDR Cost Estimate (FY08)'!AM67-'B2C Cost Est (FY08)'!AM67</f>
        <v>0</v>
      </c>
      <c r="AN67" s="14">
        <f>'SDR Cost Estimate (FY08)'!AN67-'B2C Cost Est (FY08)'!AN67</f>
        <v>0</v>
      </c>
      <c r="AO67" s="14">
        <f>'SDR Cost Estimate (FY08)'!AO67-'B2C Cost Est (FY08)'!AO67</f>
        <v>0</v>
      </c>
      <c r="AP67" s="14">
        <f>'SDR Cost Estimate (FY08)'!AP67-'B2C Cost Est (FY08)'!AP67</f>
        <v>0</v>
      </c>
      <c r="AQ67" s="14">
        <f aca="true" t="shared" si="28" ref="AQ67:AQ72">SUM(AM67:AP67)</f>
        <v>0</v>
      </c>
      <c r="AR67" s="16"/>
      <c r="AS67" s="17"/>
      <c r="AU67" s="14">
        <f>'SDR Cost Estimate (FY08)'!AU67-'B2C Cost Est (FY08)'!AU67</f>
        <v>0</v>
      </c>
      <c r="AV67" s="15">
        <f>'SDR Cost Estimate (FY08)'!AV67-'B2C Cost Est (FY08)'!AV67</f>
        <v>0</v>
      </c>
      <c r="AW67" s="14">
        <f>'SDR Cost Estimate (FY08)'!AW67-'B2C Cost Est (FY08)'!AW67</f>
        <v>0</v>
      </c>
      <c r="AX67" s="14">
        <f>'SDR Cost Estimate (FY08)'!AX67-'B2C Cost Est (FY08)'!AX67</f>
        <v>0</v>
      </c>
      <c r="AY67" s="14">
        <f>'SDR Cost Estimate (FY08)'!AY67-'B2C Cost Est (FY08)'!AY67</f>
        <v>0</v>
      </c>
      <c r="AZ67" s="14">
        <f>'SDR Cost Estimate (FY08)'!AZ67-'B2C Cost Est (FY08)'!AZ67</f>
        <v>0</v>
      </c>
      <c r="BA67" s="14">
        <f>'SDR Cost Estimate (FY08)'!BA67-'B2C Cost Est (FY08)'!BA67</f>
        <v>0</v>
      </c>
      <c r="BB67" s="14">
        <f aca="true" t="shared" si="29" ref="BB67:BB72">SUM(AX67:BA67)</f>
        <v>0</v>
      </c>
      <c r="BC67" s="16"/>
    </row>
    <row r="68" spans="1:55" ht="12.75">
      <c r="A68" s="13">
        <v>5.2</v>
      </c>
      <c r="B68" s="13" t="s">
        <v>949</v>
      </c>
      <c r="C68" s="14">
        <f>'SDR Cost Estimate (FY08)'!C68-'B2C Cost Est (FY08)'!C68</f>
        <v>1526</v>
      </c>
      <c r="D68" s="15">
        <f>'SDR Cost Estimate (FY08)'!D68-'B2C Cost Est (FY08)'!D68</f>
        <v>0.847777777777778</v>
      </c>
      <c r="E68" s="14">
        <f>'SDR Cost Estimate (FY08)'!E68-'B2C Cost Est (FY08)'!E68</f>
        <v>8.333333333333336</v>
      </c>
      <c r="F68" s="14">
        <f>'SDR Cost Estimate (FY08)'!F68-'B2C Cost Est (FY08)'!F68</f>
        <v>143.5688942222222</v>
      </c>
      <c r="G68" s="14">
        <f>'SDR Cost Estimate (FY08)'!G68-'B2C Cost Est (FY08)'!G68</f>
        <v>-25.7657553333338</v>
      </c>
      <c r="H68" s="14">
        <f>'SDR Cost Estimate (FY08)'!H68-'B2C Cost Est (FY08)'!H68</f>
        <v>31.431126302083342</v>
      </c>
      <c r="I68" s="14">
        <f>'SDR Cost Estimate (FY08)'!I68-'B2C Cost Est (FY08)'!I68</f>
        <v>-613.7993245531329</v>
      </c>
      <c r="J68" s="14">
        <f t="shared" si="25"/>
        <v>-464.56505936216115</v>
      </c>
      <c r="K68" s="16"/>
      <c r="L68" s="17"/>
      <c r="N68" s="14">
        <f>'SDR Cost Estimate (FY08)'!N68-'B2C Cost Est (FY08)'!N68</f>
        <v>246</v>
      </c>
      <c r="O68" s="15">
        <f>'SDR Cost Estimate (FY08)'!O68-'B2C Cost Est (FY08)'!O68</f>
        <v>0.13666666666666666</v>
      </c>
      <c r="P68" s="14">
        <f>'SDR Cost Estimate (FY08)'!P68-'B2C Cost Est (FY08)'!P68</f>
        <v>0</v>
      </c>
      <c r="Q68" s="14">
        <f>'SDR Cost Estimate (FY08)'!Q68-'B2C Cost Est (FY08)'!Q68</f>
        <v>25.765755333333345</v>
      </c>
      <c r="R68" s="14">
        <f>'SDR Cost Estimate (FY08)'!R68-'B2C Cost Est (FY08)'!R68</f>
        <v>-25.765755333333328</v>
      </c>
      <c r="S68" s="14">
        <f>'SDR Cost Estimate (FY08)'!S68-'B2C Cost Est (FY08)'!S68</f>
        <v>0</v>
      </c>
      <c r="T68" s="14">
        <f>'SDR Cost Estimate (FY08)'!T68-'B2C Cost Est (FY08)'!T68</f>
        <v>1.5046118484463022E-07</v>
      </c>
      <c r="U68" s="14">
        <f t="shared" si="26"/>
        <v>1.5046120260819862E-07</v>
      </c>
      <c r="V68" s="16"/>
      <c r="W68" s="17"/>
      <c r="Y68" s="14">
        <f>'SDR Cost Estimate (FY08)'!Y68-'B2C Cost Est (FY08)'!Y68</f>
        <v>499</v>
      </c>
      <c r="Z68" s="15">
        <f>'SDR Cost Estimate (FY08)'!Z68-'B2C Cost Est (FY08)'!Z68</f>
        <v>0.2772222222222222</v>
      </c>
      <c r="AA68" s="14">
        <f>'SDR Cost Estimate (FY08)'!AA68-'B2C Cost Est (FY08)'!AA68</f>
        <v>2</v>
      </c>
      <c r="AB68" s="14">
        <f>'SDR Cost Estimate (FY08)'!AB68-'B2C Cost Est (FY08)'!AB68</f>
        <v>48.81923444444445</v>
      </c>
      <c r="AC68" s="14">
        <f>'SDR Cost Estimate (FY08)'!AC68-'B2C Cost Est (FY08)'!AC68</f>
        <v>0</v>
      </c>
      <c r="AD68" s="14">
        <f>'SDR Cost Estimate (FY08)'!AD68-'B2C Cost Est (FY08)'!AD68</f>
        <v>7.543470052083334</v>
      </c>
      <c r="AE68" s="14">
        <f>'SDR Cost Estimate (FY08)'!AE68-'B2C Cost Est (FY08)'!AE68</f>
        <v>-185.68226014028613</v>
      </c>
      <c r="AF68" s="14">
        <f t="shared" si="27"/>
        <v>-129.31955564375835</v>
      </c>
      <c r="AG68" s="16"/>
      <c r="AH68" s="17"/>
      <c r="AJ68" s="14">
        <f>'SDR Cost Estimate (FY08)'!AJ68-'B2C Cost Est (FY08)'!AJ68</f>
        <v>781</v>
      </c>
      <c r="AK68" s="15">
        <f>'SDR Cost Estimate (FY08)'!AK68-'B2C Cost Est (FY08)'!AK68</f>
        <v>0.4338888888888889</v>
      </c>
      <c r="AL68" s="14">
        <f>'SDR Cost Estimate (FY08)'!AL68-'B2C Cost Est (FY08)'!AL68</f>
        <v>6.333333333333334</v>
      </c>
      <c r="AM68" s="14">
        <f>'SDR Cost Estimate (FY08)'!AM68-'B2C Cost Est (FY08)'!AM68</f>
        <v>68.98390444444439</v>
      </c>
      <c r="AN68" s="14">
        <f>'SDR Cost Estimate (FY08)'!AN68-'B2C Cost Est (FY08)'!AN68</f>
        <v>0</v>
      </c>
      <c r="AO68" s="14">
        <f>'SDR Cost Estimate (FY08)'!AO68-'B2C Cost Est (FY08)'!AO68</f>
        <v>23.88765625</v>
      </c>
      <c r="AP68" s="14">
        <f>'SDR Cost Estimate (FY08)'!AP68-'B2C Cost Est (FY08)'!AP68</f>
        <v>-406.2742966173013</v>
      </c>
      <c r="AQ68" s="14">
        <f t="shared" si="28"/>
        <v>-313.4027359228569</v>
      </c>
      <c r="AR68" s="16"/>
      <c r="AS68" s="17"/>
      <c r="AU68" s="14">
        <f>'SDR Cost Estimate (FY08)'!AU68-'B2C Cost Est (FY08)'!AU68</f>
        <v>0</v>
      </c>
      <c r="AV68" s="15">
        <f>'SDR Cost Estimate (FY08)'!AV68-'B2C Cost Est (FY08)'!AV68</f>
        <v>0</v>
      </c>
      <c r="AW68" s="14">
        <f>'SDR Cost Estimate (FY08)'!AW68-'B2C Cost Est (FY08)'!AW68</f>
        <v>0</v>
      </c>
      <c r="AX68" s="14">
        <f>'SDR Cost Estimate (FY08)'!AX68-'B2C Cost Est (FY08)'!AX68</f>
        <v>0</v>
      </c>
      <c r="AY68" s="14">
        <f>'SDR Cost Estimate (FY08)'!AY68-'B2C Cost Est (FY08)'!AY68</f>
        <v>0</v>
      </c>
      <c r="AZ68" s="14">
        <f>'SDR Cost Estimate (FY08)'!AZ68-'B2C Cost Est (FY08)'!AZ68</f>
        <v>0</v>
      </c>
      <c r="BA68" s="14">
        <f>'SDR Cost Estimate (FY08)'!BA68-'B2C Cost Est (FY08)'!BA68</f>
        <v>-21.84276794600646</v>
      </c>
      <c r="BB68" s="14">
        <f t="shared" si="29"/>
        <v>-21.84276794600646</v>
      </c>
      <c r="BC68" s="16"/>
    </row>
    <row r="69" spans="1:55" ht="12.75">
      <c r="A69" s="13">
        <v>5.3</v>
      </c>
      <c r="B69" s="19" t="s">
        <v>950</v>
      </c>
      <c r="C69" s="14">
        <f>'SDR Cost Estimate (FY08)'!C69-'B2C Cost Est (FY08)'!C69</f>
        <v>0</v>
      </c>
      <c r="D69" s="15">
        <f>'SDR Cost Estimate (FY08)'!D69-'B2C Cost Est (FY08)'!D69</f>
        <v>0</v>
      </c>
      <c r="E69" s="14">
        <f>'SDR Cost Estimate (FY08)'!E69-'B2C Cost Est (FY08)'!E69</f>
        <v>0</v>
      </c>
      <c r="F69" s="14">
        <f>'SDR Cost Estimate (FY08)'!F69-'B2C Cost Est (FY08)'!F69</f>
        <v>0</v>
      </c>
      <c r="G69" s="14">
        <f>'SDR Cost Estimate (FY08)'!G69-'B2C Cost Est (FY08)'!G69</f>
        <v>146</v>
      </c>
      <c r="H69" s="14">
        <f>'SDR Cost Estimate (FY08)'!H69-'B2C Cost Est (FY08)'!H69</f>
        <v>0</v>
      </c>
      <c r="I69" s="14">
        <f>'SDR Cost Estimate (FY08)'!I69-'B2C Cost Est (FY08)'!I69</f>
        <v>46.7199896645937</v>
      </c>
      <c r="J69" s="14">
        <f t="shared" si="25"/>
        <v>192.7199896645937</v>
      </c>
      <c r="K69" s="16"/>
      <c r="L69" s="17"/>
      <c r="N69" s="14">
        <f>'SDR Cost Estimate (FY08)'!N69-'B2C Cost Est (FY08)'!N69</f>
        <v>0</v>
      </c>
      <c r="O69" s="15">
        <f>'SDR Cost Estimate (FY08)'!O69-'B2C Cost Est (FY08)'!O69</f>
        <v>0</v>
      </c>
      <c r="P69" s="14">
        <f>'SDR Cost Estimate (FY08)'!P69-'B2C Cost Est (FY08)'!P69</f>
        <v>0</v>
      </c>
      <c r="Q69" s="14">
        <f>'SDR Cost Estimate (FY08)'!Q69-'B2C Cost Est (FY08)'!Q69</f>
        <v>0</v>
      </c>
      <c r="R69" s="14">
        <f>'SDR Cost Estimate (FY08)'!R69-'B2C Cost Est (FY08)'!R69</f>
        <v>0</v>
      </c>
      <c r="S69" s="14">
        <f>'SDR Cost Estimate (FY08)'!S69-'B2C Cost Est (FY08)'!S69</f>
        <v>0</v>
      </c>
      <c r="T69" s="14">
        <f>'SDR Cost Estimate (FY08)'!T69-'B2C Cost Est (FY08)'!T69</f>
        <v>0</v>
      </c>
      <c r="U69" s="14">
        <f t="shared" si="26"/>
        <v>0</v>
      </c>
      <c r="V69" s="16"/>
      <c r="W69" s="17"/>
      <c r="Y69" s="14">
        <f>'SDR Cost Estimate (FY08)'!Y69-'B2C Cost Est (FY08)'!Y69</f>
        <v>0</v>
      </c>
      <c r="Z69" s="15">
        <f>'SDR Cost Estimate (FY08)'!Z69-'B2C Cost Est (FY08)'!Z69</f>
        <v>0</v>
      </c>
      <c r="AA69" s="14">
        <f>'SDR Cost Estimate (FY08)'!AA69-'B2C Cost Est (FY08)'!AA69</f>
        <v>0</v>
      </c>
      <c r="AB69" s="14">
        <f>'SDR Cost Estimate (FY08)'!AB69-'B2C Cost Est (FY08)'!AB69</f>
        <v>0</v>
      </c>
      <c r="AC69" s="14">
        <f>'SDR Cost Estimate (FY08)'!AC69-'B2C Cost Est (FY08)'!AC69</f>
        <v>0</v>
      </c>
      <c r="AD69" s="14">
        <f>'SDR Cost Estimate (FY08)'!AD69-'B2C Cost Est (FY08)'!AD69</f>
        <v>0</v>
      </c>
      <c r="AE69" s="14">
        <f>'SDR Cost Estimate (FY08)'!AE69-'B2C Cost Est (FY08)'!AE69</f>
        <v>0</v>
      </c>
      <c r="AF69" s="14">
        <f t="shared" si="27"/>
        <v>0</v>
      </c>
      <c r="AG69" s="16"/>
      <c r="AH69" s="17"/>
      <c r="AJ69" s="14">
        <f>'SDR Cost Estimate (FY08)'!AJ69-'B2C Cost Est (FY08)'!AJ69</f>
        <v>0</v>
      </c>
      <c r="AK69" s="15">
        <f>'SDR Cost Estimate (FY08)'!AK69-'B2C Cost Est (FY08)'!AK69</f>
        <v>0</v>
      </c>
      <c r="AL69" s="14">
        <f>'SDR Cost Estimate (FY08)'!AL69-'B2C Cost Est (FY08)'!AL69</f>
        <v>0</v>
      </c>
      <c r="AM69" s="14">
        <f>'SDR Cost Estimate (FY08)'!AM69-'B2C Cost Est (FY08)'!AM69</f>
        <v>0</v>
      </c>
      <c r="AN69" s="14">
        <f>'SDR Cost Estimate (FY08)'!AN69-'B2C Cost Est (FY08)'!AN69</f>
        <v>146</v>
      </c>
      <c r="AO69" s="14">
        <f>'SDR Cost Estimate (FY08)'!AO69-'B2C Cost Est (FY08)'!AO69</f>
        <v>0</v>
      </c>
      <c r="AP69" s="14">
        <f>'SDR Cost Estimate (FY08)'!AP69-'B2C Cost Est (FY08)'!AP69</f>
        <v>46.71998966459364</v>
      </c>
      <c r="AQ69" s="14">
        <f t="shared" si="28"/>
        <v>192.71998966459364</v>
      </c>
      <c r="AR69" s="16"/>
      <c r="AS69" s="17"/>
      <c r="AU69" s="14">
        <f>'SDR Cost Estimate (FY08)'!AU69-'B2C Cost Est (FY08)'!AU69</f>
        <v>0</v>
      </c>
      <c r="AV69" s="15">
        <f>'SDR Cost Estimate (FY08)'!AV69-'B2C Cost Est (FY08)'!AV69</f>
        <v>0</v>
      </c>
      <c r="AW69" s="14">
        <f>'SDR Cost Estimate (FY08)'!AW69-'B2C Cost Est (FY08)'!AW69</f>
        <v>0</v>
      </c>
      <c r="AX69" s="14">
        <f>'SDR Cost Estimate (FY08)'!AX69-'B2C Cost Est (FY08)'!AX69</f>
        <v>0</v>
      </c>
      <c r="AY69" s="14">
        <f>'SDR Cost Estimate (FY08)'!AY69-'B2C Cost Est (FY08)'!AY69</f>
        <v>0</v>
      </c>
      <c r="AZ69" s="14">
        <f>'SDR Cost Estimate (FY08)'!AZ69-'B2C Cost Est (FY08)'!AZ69</f>
        <v>0</v>
      </c>
      <c r="BA69" s="14">
        <f>'SDR Cost Estimate (FY08)'!BA69-'B2C Cost Est (FY08)'!BA69</f>
        <v>0</v>
      </c>
      <c r="BB69" s="14">
        <f t="shared" si="29"/>
        <v>0</v>
      </c>
      <c r="BC69" s="16"/>
    </row>
    <row r="70" spans="1:55" ht="12.75">
      <c r="A70" s="13">
        <v>5.4</v>
      </c>
      <c r="B70" s="19" t="s">
        <v>951</v>
      </c>
      <c r="C70" s="14">
        <f>'SDR Cost Estimate (FY08)'!C70-'B2C Cost Est (FY08)'!C70</f>
        <v>0</v>
      </c>
      <c r="D70" s="15">
        <f>'SDR Cost Estimate (FY08)'!D70-'B2C Cost Est (FY08)'!D70</f>
        <v>0</v>
      </c>
      <c r="E70" s="14">
        <f>'SDR Cost Estimate (FY08)'!E70-'B2C Cost Est (FY08)'!E70</f>
        <v>0</v>
      </c>
      <c r="F70" s="14">
        <f>'SDR Cost Estimate (FY08)'!F70-'B2C Cost Est (FY08)'!F70</f>
        <v>0</v>
      </c>
      <c r="G70" s="14">
        <f>'SDR Cost Estimate (FY08)'!G70-'B2C Cost Est (FY08)'!G70</f>
        <v>0</v>
      </c>
      <c r="H70" s="14">
        <f>'SDR Cost Estimate (FY08)'!H70-'B2C Cost Est (FY08)'!H70</f>
        <v>0</v>
      </c>
      <c r="I70" s="14">
        <f>'SDR Cost Estimate (FY08)'!I70-'B2C Cost Est (FY08)'!I70</f>
        <v>0</v>
      </c>
      <c r="J70" s="14">
        <f t="shared" si="25"/>
        <v>0</v>
      </c>
      <c r="K70" s="16"/>
      <c r="L70" s="17"/>
      <c r="N70" s="14">
        <f>'SDR Cost Estimate (FY08)'!N70-'B2C Cost Est (FY08)'!N70</f>
        <v>0</v>
      </c>
      <c r="O70" s="15">
        <f>'SDR Cost Estimate (FY08)'!O70-'B2C Cost Est (FY08)'!O70</f>
        <v>0</v>
      </c>
      <c r="P70" s="14">
        <f>'SDR Cost Estimate (FY08)'!P70-'B2C Cost Est (FY08)'!P70</f>
        <v>0</v>
      </c>
      <c r="Q70" s="14">
        <f>'SDR Cost Estimate (FY08)'!Q70-'B2C Cost Est (FY08)'!Q70</f>
        <v>0</v>
      </c>
      <c r="R70" s="14">
        <f>'SDR Cost Estimate (FY08)'!R70-'B2C Cost Est (FY08)'!R70</f>
        <v>0</v>
      </c>
      <c r="S70" s="14">
        <f>'SDR Cost Estimate (FY08)'!S70-'B2C Cost Est (FY08)'!S70</f>
        <v>0</v>
      </c>
      <c r="T70" s="14">
        <f>'SDR Cost Estimate (FY08)'!T70-'B2C Cost Est (FY08)'!T70</f>
        <v>0</v>
      </c>
      <c r="U70" s="14">
        <f t="shared" si="26"/>
        <v>0</v>
      </c>
      <c r="V70" s="16"/>
      <c r="W70" s="17"/>
      <c r="Y70" s="14">
        <f>'SDR Cost Estimate (FY08)'!Y70-'B2C Cost Est (FY08)'!Y70</f>
        <v>0</v>
      </c>
      <c r="Z70" s="15">
        <f>'SDR Cost Estimate (FY08)'!Z70-'B2C Cost Est (FY08)'!Z70</f>
        <v>0</v>
      </c>
      <c r="AA70" s="14">
        <f>'SDR Cost Estimate (FY08)'!AA70-'B2C Cost Est (FY08)'!AA70</f>
        <v>0</v>
      </c>
      <c r="AB70" s="14">
        <f>'SDR Cost Estimate (FY08)'!AB70-'B2C Cost Est (FY08)'!AB70</f>
        <v>0</v>
      </c>
      <c r="AC70" s="14">
        <f>'SDR Cost Estimate (FY08)'!AC70-'B2C Cost Est (FY08)'!AC70</f>
        <v>0</v>
      </c>
      <c r="AD70" s="14">
        <f>'SDR Cost Estimate (FY08)'!AD70-'B2C Cost Est (FY08)'!AD70</f>
        <v>0</v>
      </c>
      <c r="AE70" s="14">
        <f>'SDR Cost Estimate (FY08)'!AE70-'B2C Cost Est (FY08)'!AE70</f>
        <v>0</v>
      </c>
      <c r="AF70" s="14">
        <f t="shared" si="27"/>
        <v>0</v>
      </c>
      <c r="AG70" s="16"/>
      <c r="AH70" s="17"/>
      <c r="AJ70" s="14">
        <f>'SDR Cost Estimate (FY08)'!AJ70-'B2C Cost Est (FY08)'!AJ70</f>
        <v>0</v>
      </c>
      <c r="AK70" s="15">
        <f>'SDR Cost Estimate (FY08)'!AK70-'B2C Cost Est (FY08)'!AK70</f>
        <v>0</v>
      </c>
      <c r="AL70" s="14">
        <f>'SDR Cost Estimate (FY08)'!AL70-'B2C Cost Est (FY08)'!AL70</f>
        <v>0</v>
      </c>
      <c r="AM70" s="14">
        <f>'SDR Cost Estimate (FY08)'!AM70-'B2C Cost Est (FY08)'!AM70</f>
        <v>0</v>
      </c>
      <c r="AN70" s="14">
        <f>'SDR Cost Estimate (FY08)'!AN70-'B2C Cost Est (FY08)'!AN70</f>
        <v>0</v>
      </c>
      <c r="AO70" s="14">
        <f>'SDR Cost Estimate (FY08)'!AO70-'B2C Cost Est (FY08)'!AO70</f>
        <v>0</v>
      </c>
      <c r="AP70" s="14">
        <f>'SDR Cost Estimate (FY08)'!AP70-'B2C Cost Est (FY08)'!AP70</f>
        <v>0</v>
      </c>
      <c r="AQ70" s="14">
        <f t="shared" si="28"/>
        <v>0</v>
      </c>
      <c r="AR70" s="16"/>
      <c r="AS70" s="17"/>
      <c r="AU70" s="14">
        <f>'SDR Cost Estimate (FY08)'!AU70-'B2C Cost Est (FY08)'!AU70</f>
        <v>0</v>
      </c>
      <c r="AV70" s="15">
        <f>'SDR Cost Estimate (FY08)'!AV70-'B2C Cost Est (FY08)'!AV70</f>
        <v>0</v>
      </c>
      <c r="AW70" s="14">
        <f>'SDR Cost Estimate (FY08)'!AW70-'B2C Cost Est (FY08)'!AW70</f>
        <v>0</v>
      </c>
      <c r="AX70" s="14">
        <f>'SDR Cost Estimate (FY08)'!AX70-'B2C Cost Est (FY08)'!AX70</f>
        <v>0</v>
      </c>
      <c r="AY70" s="14">
        <f>'SDR Cost Estimate (FY08)'!AY70-'B2C Cost Est (FY08)'!AY70</f>
        <v>0</v>
      </c>
      <c r="AZ70" s="14">
        <f>'SDR Cost Estimate (FY08)'!AZ70-'B2C Cost Est (FY08)'!AZ70</f>
        <v>0</v>
      </c>
      <c r="BA70" s="14">
        <f>'SDR Cost Estimate (FY08)'!BA70-'B2C Cost Est (FY08)'!BA70</f>
        <v>0</v>
      </c>
      <c r="BB70" s="14">
        <f t="shared" si="29"/>
        <v>0</v>
      </c>
      <c r="BC70" s="16"/>
    </row>
    <row r="71" spans="1:55" ht="12.75">
      <c r="A71" s="13">
        <v>5.5</v>
      </c>
      <c r="B71" s="19" t="s">
        <v>952</v>
      </c>
      <c r="C71" s="14">
        <f>'SDR Cost Estimate (FY08)'!C71-'B2C Cost Est (FY08)'!C71</f>
        <v>0</v>
      </c>
      <c r="D71" s="15">
        <f>'SDR Cost Estimate (FY08)'!D71-'B2C Cost Est (FY08)'!D71</f>
        <v>0</v>
      </c>
      <c r="E71" s="14">
        <f>'SDR Cost Estimate (FY08)'!E71-'B2C Cost Est (FY08)'!E71</f>
        <v>0</v>
      </c>
      <c r="F71" s="14">
        <f>'SDR Cost Estimate (FY08)'!F71-'B2C Cost Est (FY08)'!F71</f>
        <v>0</v>
      </c>
      <c r="G71" s="14">
        <f>'SDR Cost Estimate (FY08)'!G71-'B2C Cost Est (FY08)'!G71</f>
        <v>0</v>
      </c>
      <c r="H71" s="14">
        <f>'SDR Cost Estimate (FY08)'!H71-'B2C Cost Est (FY08)'!H71</f>
        <v>0</v>
      </c>
      <c r="I71" s="14">
        <f>'SDR Cost Estimate (FY08)'!I71-'B2C Cost Est (FY08)'!I71</f>
        <v>0</v>
      </c>
      <c r="J71" s="14">
        <f t="shared" si="25"/>
        <v>0</v>
      </c>
      <c r="K71" s="16"/>
      <c r="L71" s="17"/>
      <c r="N71" s="14">
        <f>'SDR Cost Estimate (FY08)'!N71-'B2C Cost Est (FY08)'!N71</f>
        <v>0</v>
      </c>
      <c r="O71" s="15">
        <f>'SDR Cost Estimate (FY08)'!O71-'B2C Cost Est (FY08)'!O71</f>
        <v>0</v>
      </c>
      <c r="P71" s="14">
        <f>'SDR Cost Estimate (FY08)'!P71-'B2C Cost Est (FY08)'!P71</f>
        <v>0</v>
      </c>
      <c r="Q71" s="14">
        <f>'SDR Cost Estimate (FY08)'!Q71-'B2C Cost Est (FY08)'!Q71</f>
        <v>0</v>
      </c>
      <c r="R71" s="14">
        <f>'SDR Cost Estimate (FY08)'!R71-'B2C Cost Est (FY08)'!R71</f>
        <v>0</v>
      </c>
      <c r="S71" s="14">
        <f>'SDR Cost Estimate (FY08)'!S71-'B2C Cost Est (FY08)'!S71</f>
        <v>0</v>
      </c>
      <c r="T71" s="14">
        <f>'SDR Cost Estimate (FY08)'!T71-'B2C Cost Est (FY08)'!T71</f>
        <v>0</v>
      </c>
      <c r="U71" s="14">
        <f t="shared" si="26"/>
        <v>0</v>
      </c>
      <c r="V71" s="16"/>
      <c r="W71" s="17"/>
      <c r="Y71" s="14">
        <f>'SDR Cost Estimate (FY08)'!Y71-'B2C Cost Est (FY08)'!Y71</f>
        <v>0</v>
      </c>
      <c r="Z71" s="15">
        <f>'SDR Cost Estimate (FY08)'!Z71-'B2C Cost Est (FY08)'!Z71</f>
        <v>0</v>
      </c>
      <c r="AA71" s="14">
        <f>'SDR Cost Estimate (FY08)'!AA71-'B2C Cost Est (FY08)'!AA71</f>
        <v>0</v>
      </c>
      <c r="AB71" s="14">
        <f>'SDR Cost Estimate (FY08)'!AB71-'B2C Cost Est (FY08)'!AB71</f>
        <v>0</v>
      </c>
      <c r="AC71" s="14">
        <f>'SDR Cost Estimate (FY08)'!AC71-'B2C Cost Est (FY08)'!AC71</f>
        <v>0</v>
      </c>
      <c r="AD71" s="14">
        <f>'SDR Cost Estimate (FY08)'!AD71-'B2C Cost Est (FY08)'!AD71</f>
        <v>0</v>
      </c>
      <c r="AE71" s="14">
        <f>'SDR Cost Estimate (FY08)'!AE71-'B2C Cost Est (FY08)'!AE71</f>
        <v>0</v>
      </c>
      <c r="AF71" s="14">
        <f t="shared" si="27"/>
        <v>0</v>
      </c>
      <c r="AG71" s="16"/>
      <c r="AH71" s="17"/>
      <c r="AJ71" s="14">
        <f>'SDR Cost Estimate (FY08)'!AJ71-'B2C Cost Est (FY08)'!AJ71</f>
        <v>0</v>
      </c>
      <c r="AK71" s="15">
        <f>'SDR Cost Estimate (FY08)'!AK71-'B2C Cost Est (FY08)'!AK71</f>
        <v>0</v>
      </c>
      <c r="AL71" s="14">
        <f>'SDR Cost Estimate (FY08)'!AL71-'B2C Cost Est (FY08)'!AL71</f>
        <v>0</v>
      </c>
      <c r="AM71" s="14">
        <f>'SDR Cost Estimate (FY08)'!AM71-'B2C Cost Est (FY08)'!AM71</f>
        <v>0</v>
      </c>
      <c r="AN71" s="14">
        <f>'SDR Cost Estimate (FY08)'!AN71-'B2C Cost Est (FY08)'!AN71</f>
        <v>0</v>
      </c>
      <c r="AO71" s="14">
        <f>'SDR Cost Estimate (FY08)'!AO71-'B2C Cost Est (FY08)'!AO71</f>
        <v>0</v>
      </c>
      <c r="AP71" s="14">
        <f>'SDR Cost Estimate (FY08)'!AP71-'B2C Cost Est (FY08)'!AP71</f>
        <v>0</v>
      </c>
      <c r="AQ71" s="14">
        <f t="shared" si="28"/>
        <v>0</v>
      </c>
      <c r="AR71" s="16"/>
      <c r="AS71" s="17"/>
      <c r="AU71" s="14">
        <f>'SDR Cost Estimate (FY08)'!AU71-'B2C Cost Est (FY08)'!AU71</f>
        <v>0</v>
      </c>
      <c r="AV71" s="15">
        <f>'SDR Cost Estimate (FY08)'!AV71-'B2C Cost Est (FY08)'!AV71</f>
        <v>0</v>
      </c>
      <c r="AW71" s="14">
        <f>'SDR Cost Estimate (FY08)'!AW71-'B2C Cost Est (FY08)'!AW71</f>
        <v>0</v>
      </c>
      <c r="AX71" s="14">
        <f>'SDR Cost Estimate (FY08)'!AX71-'B2C Cost Est (FY08)'!AX71</f>
        <v>0</v>
      </c>
      <c r="AY71" s="14">
        <f>'SDR Cost Estimate (FY08)'!AY71-'B2C Cost Est (FY08)'!AY71</f>
        <v>0</v>
      </c>
      <c r="AZ71" s="14">
        <f>'SDR Cost Estimate (FY08)'!AZ71-'B2C Cost Est (FY08)'!AZ71</f>
        <v>0</v>
      </c>
      <c r="BA71" s="14">
        <f>'SDR Cost Estimate (FY08)'!BA71-'B2C Cost Est (FY08)'!BA71</f>
        <v>0</v>
      </c>
      <c r="BB71" s="14">
        <f t="shared" si="29"/>
        <v>0</v>
      </c>
      <c r="BC71" s="16"/>
    </row>
    <row r="72" spans="1:55" ht="12.75">
      <c r="A72" s="13">
        <v>5.6</v>
      </c>
      <c r="B72" s="19" t="s">
        <v>953</v>
      </c>
      <c r="C72" s="14">
        <f>'SDR Cost Estimate (FY08)'!C72-'B2C Cost Est (FY08)'!C72</f>
        <v>400</v>
      </c>
      <c r="D72" s="15">
        <f>'SDR Cost Estimate (FY08)'!D72-'B2C Cost Est (FY08)'!D72</f>
        <v>0.22222222222222232</v>
      </c>
      <c r="E72" s="14">
        <f>'SDR Cost Estimate (FY08)'!E72-'B2C Cost Est (FY08)'!E72</f>
        <v>0</v>
      </c>
      <c r="F72" s="14">
        <f>'SDR Cost Estimate (FY08)'!F72-'B2C Cost Est (FY08)'!F72</f>
        <v>24.489673267326737</v>
      </c>
      <c r="G72" s="14">
        <f>'SDR Cost Estimate (FY08)'!G72-'B2C Cost Est (FY08)'!G72</f>
        <v>20</v>
      </c>
      <c r="H72" s="14">
        <f>'SDR Cost Estimate (FY08)'!H72-'B2C Cost Est (FY08)'!H72</f>
        <v>0</v>
      </c>
      <c r="I72" s="14">
        <f>'SDR Cost Estimate (FY08)'!I72-'B2C Cost Est (FY08)'!I72</f>
        <v>11.753894026714406</v>
      </c>
      <c r="J72" s="14">
        <f t="shared" si="25"/>
        <v>56.24356729404114</v>
      </c>
      <c r="K72" s="16"/>
      <c r="L72" s="17"/>
      <c r="N72" s="14">
        <f>'SDR Cost Estimate (FY08)'!N72-'B2C Cost Est (FY08)'!N72</f>
        <v>0</v>
      </c>
      <c r="O72" s="15">
        <f>'SDR Cost Estimate (FY08)'!O72-'B2C Cost Est (FY08)'!O72</f>
        <v>0</v>
      </c>
      <c r="P72" s="14">
        <f>'SDR Cost Estimate (FY08)'!P72-'B2C Cost Est (FY08)'!P72</f>
        <v>0</v>
      </c>
      <c r="Q72" s="14">
        <f>'SDR Cost Estimate (FY08)'!Q72-'B2C Cost Est (FY08)'!Q72</f>
        <v>0</v>
      </c>
      <c r="R72" s="14">
        <f>'SDR Cost Estimate (FY08)'!R72-'B2C Cost Est (FY08)'!R72</f>
        <v>0</v>
      </c>
      <c r="S72" s="14">
        <f>'SDR Cost Estimate (FY08)'!S72-'B2C Cost Est (FY08)'!S72</f>
        <v>0</v>
      </c>
      <c r="T72" s="14">
        <f>'SDR Cost Estimate (FY08)'!T72-'B2C Cost Est (FY08)'!T72</f>
        <v>0</v>
      </c>
      <c r="U72" s="14">
        <f t="shared" si="26"/>
        <v>0</v>
      </c>
      <c r="V72" s="16"/>
      <c r="W72" s="17"/>
      <c r="Y72" s="14">
        <f>'SDR Cost Estimate (FY08)'!Y72-'B2C Cost Est (FY08)'!Y72</f>
        <v>0</v>
      </c>
      <c r="Z72" s="15">
        <f>'SDR Cost Estimate (FY08)'!Z72-'B2C Cost Est (FY08)'!Z72</f>
        <v>0</v>
      </c>
      <c r="AA72" s="14">
        <f>'SDR Cost Estimate (FY08)'!AA72-'B2C Cost Est (FY08)'!AA72</f>
        <v>0</v>
      </c>
      <c r="AB72" s="14">
        <f>'SDR Cost Estimate (FY08)'!AB72-'B2C Cost Est (FY08)'!AB72</f>
        <v>0</v>
      </c>
      <c r="AC72" s="14">
        <f>'SDR Cost Estimate (FY08)'!AC72-'B2C Cost Est (FY08)'!AC72</f>
        <v>0</v>
      </c>
      <c r="AD72" s="14">
        <f>'SDR Cost Estimate (FY08)'!AD72-'B2C Cost Est (FY08)'!AD72</f>
        <v>0</v>
      </c>
      <c r="AE72" s="14">
        <f>'SDR Cost Estimate (FY08)'!AE72-'B2C Cost Est (FY08)'!AE72</f>
        <v>0</v>
      </c>
      <c r="AF72" s="14">
        <f t="shared" si="27"/>
        <v>0</v>
      </c>
      <c r="AG72" s="16"/>
      <c r="AH72" s="17"/>
      <c r="AJ72" s="14">
        <f>'SDR Cost Estimate (FY08)'!AJ72-'B2C Cost Est (FY08)'!AJ72</f>
        <v>400</v>
      </c>
      <c r="AK72" s="15">
        <f>'SDR Cost Estimate (FY08)'!AK72-'B2C Cost Est (FY08)'!AK72</f>
        <v>0.22222222222222232</v>
      </c>
      <c r="AL72" s="14">
        <f>'SDR Cost Estimate (FY08)'!AL72-'B2C Cost Est (FY08)'!AL72</f>
        <v>0</v>
      </c>
      <c r="AM72" s="14">
        <f>'SDR Cost Estimate (FY08)'!AM72-'B2C Cost Est (FY08)'!AM72</f>
        <v>24.489673267326737</v>
      </c>
      <c r="AN72" s="14">
        <f>'SDR Cost Estimate (FY08)'!AN72-'B2C Cost Est (FY08)'!AN72</f>
        <v>20</v>
      </c>
      <c r="AO72" s="14">
        <f>'SDR Cost Estimate (FY08)'!AO72-'B2C Cost Est (FY08)'!AO72</f>
        <v>0</v>
      </c>
      <c r="AP72" s="14">
        <f>'SDR Cost Estimate (FY08)'!AP72-'B2C Cost Est (FY08)'!AP72</f>
        <v>11.753894026714406</v>
      </c>
      <c r="AQ72" s="14">
        <f t="shared" si="28"/>
        <v>56.24356729404114</v>
      </c>
      <c r="AR72" s="16"/>
      <c r="AS72" s="17"/>
      <c r="AU72" s="14">
        <f>'SDR Cost Estimate (FY08)'!AU72-'B2C Cost Est (FY08)'!AU72</f>
        <v>0</v>
      </c>
      <c r="AV72" s="15">
        <f>'SDR Cost Estimate (FY08)'!AV72-'B2C Cost Est (FY08)'!AV72</f>
        <v>0</v>
      </c>
      <c r="AW72" s="14">
        <f>'SDR Cost Estimate (FY08)'!AW72-'B2C Cost Est (FY08)'!AW72</f>
        <v>0</v>
      </c>
      <c r="AX72" s="14">
        <f>'SDR Cost Estimate (FY08)'!AX72-'B2C Cost Est (FY08)'!AX72</f>
        <v>0</v>
      </c>
      <c r="AY72" s="14">
        <f>'SDR Cost Estimate (FY08)'!AY72-'B2C Cost Est (FY08)'!AY72</f>
        <v>0</v>
      </c>
      <c r="AZ72" s="14">
        <f>'SDR Cost Estimate (FY08)'!AZ72-'B2C Cost Est (FY08)'!AZ72</f>
        <v>0</v>
      </c>
      <c r="BA72" s="14">
        <f>'SDR Cost Estimate (FY08)'!BA72-'B2C Cost Est (FY08)'!BA72</f>
        <v>0</v>
      </c>
      <c r="BB72" s="14">
        <f t="shared" si="29"/>
        <v>0</v>
      </c>
      <c r="BC72" s="16"/>
    </row>
    <row r="73" spans="1:56" ht="12.75">
      <c r="A73" s="8">
        <v>6</v>
      </c>
      <c r="B73" s="9" t="s">
        <v>954</v>
      </c>
      <c r="C73" s="25"/>
      <c r="D73" s="25"/>
      <c r="E73" s="25"/>
      <c r="F73" s="25"/>
      <c r="G73" s="25"/>
      <c r="H73" s="25"/>
      <c r="I73" s="25"/>
      <c r="J73" s="25"/>
      <c r="K73" s="11">
        <f>L73/L$108</f>
        <v>0.008460594798984717</v>
      </c>
      <c r="L73" s="12">
        <f>SUM(J74:J87)</f>
        <v>18.051489110558457</v>
      </c>
      <c r="N73" s="25"/>
      <c r="O73" s="25"/>
      <c r="P73" s="25"/>
      <c r="Q73" s="25"/>
      <c r="R73" s="25"/>
      <c r="S73" s="25"/>
      <c r="T73" s="25"/>
      <c r="U73" s="25"/>
      <c r="V73" s="25"/>
      <c r="W73" s="12">
        <f>SUM(U74:U87)</f>
        <v>0</v>
      </c>
      <c r="Y73" s="25"/>
      <c r="Z73" s="25"/>
      <c r="AA73" s="25"/>
      <c r="AB73" s="25"/>
      <c r="AC73" s="25"/>
      <c r="AD73" s="25"/>
      <c r="AE73" s="25"/>
      <c r="AF73" s="25"/>
      <c r="AG73" s="25"/>
      <c r="AH73" s="12">
        <f>SUM(AF74:AF87)</f>
        <v>10.35489479577007</v>
      </c>
      <c r="AJ73" s="25"/>
      <c r="AK73" s="25"/>
      <c r="AL73" s="25"/>
      <c r="AM73" s="25"/>
      <c r="AN73" s="25"/>
      <c r="AO73" s="25"/>
      <c r="AP73" s="25"/>
      <c r="AQ73" s="25"/>
      <c r="AR73" s="25"/>
      <c r="AS73" s="12">
        <f>SUM(AQ74:AQ87)</f>
        <v>7.6965943147883475</v>
      </c>
      <c r="AU73" s="25"/>
      <c r="AV73" s="25"/>
      <c r="AW73" s="25"/>
      <c r="AX73" s="25"/>
      <c r="AY73" s="25"/>
      <c r="AZ73" s="25"/>
      <c r="BA73" s="25"/>
      <c r="BB73" s="25"/>
      <c r="BC73" s="25"/>
      <c r="BD73" s="12">
        <f>SUM(BB74:BB87)</f>
        <v>0</v>
      </c>
    </row>
    <row r="74" spans="1:55" ht="12.75">
      <c r="A74" s="13">
        <v>6.1</v>
      </c>
      <c r="B74" s="19" t="s">
        <v>955</v>
      </c>
      <c r="K74" s="22"/>
      <c r="V74" s="22" t="s">
        <v>683</v>
      </c>
      <c r="AG74" s="22" t="s">
        <v>683</v>
      </c>
      <c r="AR74" s="22" t="s">
        <v>683</v>
      </c>
      <c r="BC74" s="22" t="s">
        <v>683</v>
      </c>
    </row>
    <row r="75" spans="1:55" ht="12.75">
      <c r="A75" s="23" t="s">
        <v>956</v>
      </c>
      <c r="B75" s="19" t="s">
        <v>957</v>
      </c>
      <c r="C75" s="14">
        <f>'SDR Cost Estimate (FY08)'!C75-'B2C Cost Est (FY08)'!C75</f>
        <v>0</v>
      </c>
      <c r="D75" s="15">
        <f>'SDR Cost Estimate (FY08)'!D75-'B2C Cost Est (FY08)'!D75</f>
        <v>0</v>
      </c>
      <c r="E75" s="14">
        <f>'SDR Cost Estimate (FY08)'!E75-'B2C Cost Est (FY08)'!E75</f>
        <v>0</v>
      </c>
      <c r="F75" s="14">
        <f>'SDR Cost Estimate (FY08)'!F75-'B2C Cost Est (FY08)'!F75</f>
        <v>0</v>
      </c>
      <c r="G75" s="14">
        <f>'SDR Cost Estimate (FY08)'!G75-'B2C Cost Est (FY08)'!G75</f>
        <v>0</v>
      </c>
      <c r="H75" s="14">
        <f>'SDR Cost Estimate (FY08)'!H75-'B2C Cost Est (FY08)'!H75</f>
        <v>0</v>
      </c>
      <c r="I75" s="14">
        <f>'SDR Cost Estimate (FY08)'!I75-'B2C Cost Est (FY08)'!I75</f>
        <v>0</v>
      </c>
      <c r="J75" s="14">
        <f>SUM(F75:I75)</f>
        <v>0</v>
      </c>
      <c r="K75" s="16"/>
      <c r="L75" s="17"/>
      <c r="N75" s="14">
        <f>'SDR Cost Estimate (FY08)'!N75-'B2C Cost Est (FY08)'!N75</f>
        <v>0</v>
      </c>
      <c r="O75" s="15">
        <f>'SDR Cost Estimate (FY08)'!O75-'B2C Cost Est (FY08)'!O75</f>
        <v>0</v>
      </c>
      <c r="P75" s="14">
        <f>'SDR Cost Estimate (FY08)'!P75-'B2C Cost Est (FY08)'!P75</f>
        <v>0</v>
      </c>
      <c r="Q75" s="14">
        <f>'SDR Cost Estimate (FY08)'!Q75-'B2C Cost Est (FY08)'!Q75</f>
        <v>0</v>
      </c>
      <c r="R75" s="14">
        <f>'SDR Cost Estimate (FY08)'!R75-'B2C Cost Est (FY08)'!R75</f>
        <v>0</v>
      </c>
      <c r="S75" s="14">
        <f>'SDR Cost Estimate (FY08)'!S75-'B2C Cost Est (FY08)'!S75</f>
        <v>0</v>
      </c>
      <c r="T75" s="14">
        <f>'SDR Cost Estimate (FY08)'!T75-'B2C Cost Est (FY08)'!T75</f>
        <v>0</v>
      </c>
      <c r="U75" s="14">
        <f>SUM(Q75:T75)</f>
        <v>0</v>
      </c>
      <c r="V75" s="16"/>
      <c r="W75" s="17"/>
      <c r="Y75" s="14">
        <f>'SDR Cost Estimate (FY08)'!Y75-'B2C Cost Est (FY08)'!Y75</f>
        <v>0</v>
      </c>
      <c r="Z75" s="15">
        <f>'SDR Cost Estimate (FY08)'!Z75-'B2C Cost Est (FY08)'!Z75</f>
        <v>0</v>
      </c>
      <c r="AA75" s="14">
        <f>'SDR Cost Estimate (FY08)'!AA75-'B2C Cost Est (FY08)'!AA75</f>
        <v>0</v>
      </c>
      <c r="AB75" s="14">
        <f>'SDR Cost Estimate (FY08)'!AB75-'B2C Cost Est (FY08)'!AB75</f>
        <v>0</v>
      </c>
      <c r="AC75" s="14">
        <f>'SDR Cost Estimate (FY08)'!AC75-'B2C Cost Est (FY08)'!AC75</f>
        <v>0</v>
      </c>
      <c r="AD75" s="14">
        <f>'SDR Cost Estimate (FY08)'!AD75-'B2C Cost Est (FY08)'!AD75</f>
        <v>0</v>
      </c>
      <c r="AE75" s="14">
        <f>'SDR Cost Estimate (FY08)'!AE75-'B2C Cost Est (FY08)'!AE75</f>
        <v>0</v>
      </c>
      <c r="AF75" s="14">
        <f>SUM(AB75:AE75)</f>
        <v>0</v>
      </c>
      <c r="AG75" s="16"/>
      <c r="AH75" s="17"/>
      <c r="AJ75" s="14">
        <f>'SDR Cost Estimate (FY08)'!AJ75-'B2C Cost Est (FY08)'!AJ75</f>
        <v>0</v>
      </c>
      <c r="AK75" s="15">
        <f>'SDR Cost Estimate (FY08)'!AK75-'B2C Cost Est (FY08)'!AK75</f>
        <v>0</v>
      </c>
      <c r="AL75" s="14">
        <f>'SDR Cost Estimate (FY08)'!AL75-'B2C Cost Est (FY08)'!AL75</f>
        <v>0</v>
      </c>
      <c r="AM75" s="14">
        <f>'SDR Cost Estimate (FY08)'!AM75-'B2C Cost Est (FY08)'!AM75</f>
        <v>0</v>
      </c>
      <c r="AN75" s="14">
        <f>'SDR Cost Estimate (FY08)'!AN75-'B2C Cost Est (FY08)'!AN75</f>
        <v>0</v>
      </c>
      <c r="AO75" s="14">
        <f>'SDR Cost Estimate (FY08)'!AO75-'B2C Cost Est (FY08)'!AO75</f>
        <v>0</v>
      </c>
      <c r="AP75" s="14">
        <f>'SDR Cost Estimate (FY08)'!AP75-'B2C Cost Est (FY08)'!AP75</f>
        <v>0</v>
      </c>
      <c r="AQ75" s="14">
        <f>SUM(AM75:AP75)</f>
        <v>0</v>
      </c>
      <c r="AR75" s="16"/>
      <c r="AS75" s="17"/>
      <c r="AU75" s="14">
        <f>'SDR Cost Estimate (FY08)'!AU75-'B2C Cost Est (FY08)'!AU75</f>
        <v>0</v>
      </c>
      <c r="AV75" s="15">
        <f>'SDR Cost Estimate (FY08)'!AV75-'B2C Cost Est (FY08)'!AV75</f>
        <v>0</v>
      </c>
      <c r="AW75" s="14">
        <f>'SDR Cost Estimate (FY08)'!AW75-'B2C Cost Est (FY08)'!AW75</f>
        <v>0</v>
      </c>
      <c r="AX75" s="14">
        <f>'SDR Cost Estimate (FY08)'!AX75-'B2C Cost Est (FY08)'!AX75</f>
        <v>0</v>
      </c>
      <c r="AY75" s="14">
        <f>'SDR Cost Estimate (FY08)'!AY75-'B2C Cost Est (FY08)'!AY75</f>
        <v>0</v>
      </c>
      <c r="AZ75" s="14">
        <f>'SDR Cost Estimate (FY08)'!AZ75-'B2C Cost Est (FY08)'!AZ75</f>
        <v>0</v>
      </c>
      <c r="BA75" s="14">
        <f>'SDR Cost Estimate (FY08)'!BA75-'B2C Cost Est (FY08)'!BA75</f>
        <v>0</v>
      </c>
      <c r="BB75" s="14">
        <f>SUM(AX75:BA75)</f>
        <v>0</v>
      </c>
      <c r="BC75" s="16"/>
    </row>
    <row r="76" spans="1:55" ht="12.75">
      <c r="A76" s="23" t="s">
        <v>958</v>
      </c>
      <c r="B76" s="19" t="s">
        <v>959</v>
      </c>
      <c r="C76" s="14">
        <f>'SDR Cost Estimate (FY08)'!C76-'B2C Cost Est (FY08)'!C76</f>
        <v>44</v>
      </c>
      <c r="D76" s="15">
        <f>'SDR Cost Estimate (FY08)'!D76-'B2C Cost Est (FY08)'!D76</f>
        <v>0.02444444444444438</v>
      </c>
      <c r="E76" s="14">
        <f>'SDR Cost Estimate (FY08)'!E76-'B2C Cost Est (FY08)'!E76</f>
        <v>0</v>
      </c>
      <c r="F76" s="14">
        <f>'SDR Cost Estimate (FY08)'!F76-'B2C Cost Est (FY08)'!F76</f>
        <v>3.704679999999996</v>
      </c>
      <c r="G76" s="14">
        <f>'SDR Cost Estimate (FY08)'!G76-'B2C Cost Est (FY08)'!G76</f>
        <v>0</v>
      </c>
      <c r="H76" s="14">
        <f>'SDR Cost Estimate (FY08)'!H76-'B2C Cost Est (FY08)'!H76</f>
        <v>0</v>
      </c>
      <c r="I76" s="14">
        <f>'SDR Cost Estimate (FY08)'!I76-'B2C Cost Est (FY08)'!I76</f>
        <v>0.5036966656085582</v>
      </c>
      <c r="J76" s="14">
        <f>SUM(F76:I76)</f>
        <v>4.208376665608554</v>
      </c>
      <c r="K76" s="16"/>
      <c r="L76" s="17"/>
      <c r="N76" s="14">
        <f>'SDR Cost Estimate (FY08)'!N76-'B2C Cost Est (FY08)'!N76</f>
        <v>0</v>
      </c>
      <c r="O76" s="15">
        <f>'SDR Cost Estimate (FY08)'!O76-'B2C Cost Est (FY08)'!O76</f>
        <v>0</v>
      </c>
      <c r="P76" s="14">
        <f>'SDR Cost Estimate (FY08)'!P76-'B2C Cost Est (FY08)'!P76</f>
        <v>0</v>
      </c>
      <c r="Q76" s="14">
        <f>'SDR Cost Estimate (FY08)'!Q76-'B2C Cost Est (FY08)'!Q76</f>
        <v>0</v>
      </c>
      <c r="R76" s="14">
        <f>'SDR Cost Estimate (FY08)'!R76-'B2C Cost Est (FY08)'!R76</f>
        <v>0</v>
      </c>
      <c r="S76" s="14">
        <f>'SDR Cost Estimate (FY08)'!S76-'B2C Cost Est (FY08)'!S76</f>
        <v>0</v>
      </c>
      <c r="T76" s="14">
        <f>'SDR Cost Estimate (FY08)'!T76-'B2C Cost Est (FY08)'!T76</f>
        <v>0</v>
      </c>
      <c r="U76" s="14">
        <f>SUM(Q76:T76)</f>
        <v>0</v>
      </c>
      <c r="V76" s="16"/>
      <c r="W76" s="17"/>
      <c r="Y76" s="14">
        <f>'SDR Cost Estimate (FY08)'!Y76-'B2C Cost Est (FY08)'!Y76</f>
        <v>23.5</v>
      </c>
      <c r="Z76" s="15">
        <f>'SDR Cost Estimate (FY08)'!Z76-'B2C Cost Est (FY08)'!Z76</f>
        <v>0.01305555555555557</v>
      </c>
      <c r="AA76" s="14">
        <f>'SDR Cost Estimate (FY08)'!AA76-'B2C Cost Est (FY08)'!AA76</f>
        <v>0</v>
      </c>
      <c r="AB76" s="14">
        <f>'SDR Cost Estimate (FY08)'!AB76-'B2C Cost Est (FY08)'!AB76</f>
        <v>2.1016494444444334</v>
      </c>
      <c r="AC76" s="14">
        <f>'SDR Cost Estimate (FY08)'!AC76-'B2C Cost Est (FY08)'!AC76</f>
        <v>0</v>
      </c>
      <c r="AD76" s="14">
        <f>'SDR Cost Estimate (FY08)'!AD76-'B2C Cost Est (FY08)'!AD76</f>
        <v>0</v>
      </c>
      <c r="AE76" s="14">
        <f>'SDR Cost Estimate (FY08)'!AE76-'B2C Cost Est (FY08)'!AE76</f>
        <v>0.2311814138352739</v>
      </c>
      <c r="AF76" s="14">
        <f>SUM(AB76:AE76)</f>
        <v>2.3328308582797073</v>
      </c>
      <c r="AG76" s="16"/>
      <c r="AH76" s="17"/>
      <c r="AJ76" s="14">
        <f>'SDR Cost Estimate (FY08)'!AJ76-'B2C Cost Est (FY08)'!AJ76</f>
        <v>20.5</v>
      </c>
      <c r="AK76" s="15">
        <f>'SDR Cost Estimate (FY08)'!AK76-'B2C Cost Est (FY08)'!AK76</f>
        <v>0.011388888888888893</v>
      </c>
      <c r="AL76" s="14">
        <f>'SDR Cost Estimate (FY08)'!AL76-'B2C Cost Est (FY08)'!AL76</f>
        <v>0</v>
      </c>
      <c r="AM76" s="14">
        <f>'SDR Cost Estimate (FY08)'!AM76-'B2C Cost Est (FY08)'!AM76</f>
        <v>1.6030305555555628</v>
      </c>
      <c r="AN76" s="14">
        <f>'SDR Cost Estimate (FY08)'!AN76-'B2C Cost Est (FY08)'!AN76</f>
        <v>0</v>
      </c>
      <c r="AO76" s="14">
        <f>'SDR Cost Estimate (FY08)'!AO76-'B2C Cost Est (FY08)'!AO76</f>
        <v>0</v>
      </c>
      <c r="AP76" s="14">
        <f>'SDR Cost Estimate (FY08)'!AP76-'B2C Cost Est (FY08)'!AP76</f>
        <v>0.27251525177328517</v>
      </c>
      <c r="AQ76" s="14">
        <f>SUM(AM76:AP76)</f>
        <v>1.875545807328848</v>
      </c>
      <c r="AR76" s="16"/>
      <c r="AS76" s="17"/>
      <c r="AU76" s="14">
        <f>'SDR Cost Estimate (FY08)'!AU76-'B2C Cost Est (FY08)'!AU76</f>
        <v>0</v>
      </c>
      <c r="AV76" s="15">
        <f>'SDR Cost Estimate (FY08)'!AV76-'B2C Cost Est (FY08)'!AV76</f>
        <v>0</v>
      </c>
      <c r="AW76" s="14">
        <f>'SDR Cost Estimate (FY08)'!AW76-'B2C Cost Est (FY08)'!AW76</f>
        <v>0</v>
      </c>
      <c r="AX76" s="14">
        <f>'SDR Cost Estimate (FY08)'!AX76-'B2C Cost Est (FY08)'!AX76</f>
        <v>0</v>
      </c>
      <c r="AY76" s="14">
        <f>'SDR Cost Estimate (FY08)'!AY76-'B2C Cost Est (FY08)'!AY76</f>
        <v>0</v>
      </c>
      <c r="AZ76" s="14">
        <f>'SDR Cost Estimate (FY08)'!AZ76-'B2C Cost Est (FY08)'!AZ76</f>
        <v>0</v>
      </c>
      <c r="BA76" s="14">
        <f>'SDR Cost Estimate (FY08)'!BA76-'B2C Cost Est (FY08)'!BA76</f>
        <v>0</v>
      </c>
      <c r="BB76" s="14">
        <f>SUM(AX76:BA76)</f>
        <v>0</v>
      </c>
      <c r="BC76" s="16"/>
    </row>
    <row r="77" spans="1:55" ht="12.75">
      <c r="A77" s="23" t="s">
        <v>960</v>
      </c>
      <c r="B77" s="19" t="s">
        <v>961</v>
      </c>
      <c r="C77" s="14">
        <f>'SDR Cost Estimate (FY08)'!C77-'B2C Cost Est (FY08)'!C77</f>
        <v>114</v>
      </c>
      <c r="D77" s="15">
        <f>'SDR Cost Estimate (FY08)'!D77-'B2C Cost Est (FY08)'!D77</f>
        <v>0.06333333333333324</v>
      </c>
      <c r="E77" s="14">
        <f>'SDR Cost Estimate (FY08)'!E77-'B2C Cost Est (FY08)'!E77</f>
        <v>0</v>
      </c>
      <c r="F77" s="14">
        <f>'SDR Cost Estimate (FY08)'!F77-'B2C Cost Est (FY08)'!F77</f>
        <v>9.424413333333632</v>
      </c>
      <c r="G77" s="14">
        <f>'SDR Cost Estimate (FY08)'!G77-'B2C Cost Est (FY08)'!G77</f>
        <v>0</v>
      </c>
      <c r="H77" s="14">
        <f>'SDR Cost Estimate (FY08)'!H77-'B2C Cost Est (FY08)'!H77</f>
        <v>0</v>
      </c>
      <c r="I77" s="14">
        <f>'SDR Cost Estimate (FY08)'!I77-'B2C Cost Est (FY08)'!I77</f>
        <v>1.2521186588631394</v>
      </c>
      <c r="J77" s="14">
        <f>SUM(F77:I77)</f>
        <v>10.676531992196772</v>
      </c>
      <c r="K77" s="16"/>
      <c r="L77" s="17"/>
      <c r="N77" s="14">
        <f>'SDR Cost Estimate (FY08)'!N77-'B2C Cost Est (FY08)'!N77</f>
        <v>0</v>
      </c>
      <c r="O77" s="15">
        <f>'SDR Cost Estimate (FY08)'!O77-'B2C Cost Est (FY08)'!O77</f>
        <v>0</v>
      </c>
      <c r="P77" s="14">
        <f>'SDR Cost Estimate (FY08)'!P77-'B2C Cost Est (FY08)'!P77</f>
        <v>0</v>
      </c>
      <c r="Q77" s="14">
        <f>'SDR Cost Estimate (FY08)'!Q77-'B2C Cost Est (FY08)'!Q77</f>
        <v>0</v>
      </c>
      <c r="R77" s="14">
        <f>'SDR Cost Estimate (FY08)'!R77-'B2C Cost Est (FY08)'!R77</f>
        <v>0</v>
      </c>
      <c r="S77" s="14">
        <f>'SDR Cost Estimate (FY08)'!S77-'B2C Cost Est (FY08)'!S77</f>
        <v>0</v>
      </c>
      <c r="T77" s="14">
        <f>'SDR Cost Estimate (FY08)'!T77-'B2C Cost Est (FY08)'!T77</f>
        <v>0</v>
      </c>
      <c r="U77" s="14">
        <f>SUM(Q77:T77)</f>
        <v>0</v>
      </c>
      <c r="V77" s="16"/>
      <c r="W77" s="17"/>
      <c r="Y77" s="14">
        <f>'SDR Cost Estimate (FY08)'!Y77-'B2C Cost Est (FY08)'!Y77</f>
        <v>67</v>
      </c>
      <c r="Z77" s="15">
        <f>'SDR Cost Estimate (FY08)'!Z77-'B2C Cost Est (FY08)'!Z77</f>
        <v>0.03722222222222227</v>
      </c>
      <c r="AA77" s="14">
        <f>'SDR Cost Estimate (FY08)'!AA77-'B2C Cost Est (FY08)'!AA77</f>
        <v>0</v>
      </c>
      <c r="AB77" s="14">
        <f>'SDR Cost Estimate (FY08)'!AB77-'B2C Cost Est (FY08)'!AB77</f>
        <v>5.833861111111318</v>
      </c>
      <c r="AC77" s="14">
        <f>'SDR Cost Estimate (FY08)'!AC77-'B2C Cost Est (FY08)'!AC77</f>
        <v>0</v>
      </c>
      <c r="AD77" s="14">
        <f>'SDR Cost Estimate (FY08)'!AD77-'B2C Cost Est (FY08)'!AD77</f>
        <v>0</v>
      </c>
      <c r="AE77" s="14">
        <f>'SDR Cost Estimate (FY08)'!AE77-'B2C Cost Est (FY08)'!AE77</f>
        <v>0.6417246526772029</v>
      </c>
      <c r="AF77" s="14">
        <f>SUM(AB77:AE77)</f>
        <v>6.475585763788521</v>
      </c>
      <c r="AG77" s="16"/>
      <c r="AH77" s="17"/>
      <c r="AJ77" s="14">
        <f>'SDR Cost Estimate (FY08)'!AJ77-'B2C Cost Est (FY08)'!AJ77</f>
        <v>47</v>
      </c>
      <c r="AK77" s="15">
        <f>'SDR Cost Estimate (FY08)'!AK77-'B2C Cost Est (FY08)'!AK77</f>
        <v>0.02611111111111114</v>
      </c>
      <c r="AL77" s="14">
        <f>'SDR Cost Estimate (FY08)'!AL77-'B2C Cost Est (FY08)'!AL77</f>
        <v>0</v>
      </c>
      <c r="AM77" s="14">
        <f>'SDR Cost Estimate (FY08)'!AM77-'B2C Cost Est (FY08)'!AM77</f>
        <v>3.5905522222222714</v>
      </c>
      <c r="AN77" s="14">
        <f>'SDR Cost Estimate (FY08)'!AN77-'B2C Cost Est (FY08)'!AN77</f>
        <v>0</v>
      </c>
      <c r="AO77" s="14">
        <f>'SDR Cost Estimate (FY08)'!AO77-'B2C Cost Est (FY08)'!AO77</f>
        <v>0</v>
      </c>
      <c r="AP77" s="14">
        <f>'SDR Cost Estimate (FY08)'!AP77-'B2C Cost Est (FY08)'!AP77</f>
        <v>0.6103940061859383</v>
      </c>
      <c r="AQ77" s="14">
        <f>SUM(AM77:AP77)</f>
        <v>4.20094622840821</v>
      </c>
      <c r="AR77" s="16"/>
      <c r="AS77" s="17"/>
      <c r="AU77" s="14">
        <f>'SDR Cost Estimate (FY08)'!AU77-'B2C Cost Est (FY08)'!AU77</f>
        <v>0</v>
      </c>
      <c r="AV77" s="15">
        <f>'SDR Cost Estimate (FY08)'!AV77-'B2C Cost Est (FY08)'!AV77</f>
        <v>0</v>
      </c>
      <c r="AW77" s="14">
        <f>'SDR Cost Estimate (FY08)'!AW77-'B2C Cost Est (FY08)'!AW77</f>
        <v>0</v>
      </c>
      <c r="AX77" s="14">
        <f>'SDR Cost Estimate (FY08)'!AX77-'B2C Cost Est (FY08)'!AX77</f>
        <v>0</v>
      </c>
      <c r="AY77" s="14">
        <f>'SDR Cost Estimate (FY08)'!AY77-'B2C Cost Est (FY08)'!AY77</f>
        <v>0</v>
      </c>
      <c r="AZ77" s="14">
        <f>'SDR Cost Estimate (FY08)'!AZ77-'B2C Cost Est (FY08)'!AZ77</f>
        <v>0</v>
      </c>
      <c r="BA77" s="14">
        <f>'SDR Cost Estimate (FY08)'!BA77-'B2C Cost Est (FY08)'!BA77</f>
        <v>0</v>
      </c>
      <c r="BB77" s="14">
        <f>SUM(AX77:BA77)</f>
        <v>0</v>
      </c>
      <c r="BC77" s="16"/>
    </row>
    <row r="78" spans="1:55" ht="12.75">
      <c r="A78" s="23" t="s">
        <v>962</v>
      </c>
      <c r="B78" s="19" t="s">
        <v>963</v>
      </c>
      <c r="C78" s="14">
        <f>'SDR Cost Estimate (FY08)'!C78-'B2C Cost Est (FY08)'!C78</f>
        <v>0</v>
      </c>
      <c r="D78" s="15">
        <f>'SDR Cost Estimate (FY08)'!D78-'B2C Cost Est (FY08)'!D78</f>
        <v>0</v>
      </c>
      <c r="E78" s="14">
        <f>'SDR Cost Estimate (FY08)'!E78-'B2C Cost Est (FY08)'!E78</f>
        <v>0</v>
      </c>
      <c r="F78" s="14">
        <f>'SDR Cost Estimate (FY08)'!F78-'B2C Cost Est (FY08)'!F78</f>
        <v>0</v>
      </c>
      <c r="G78" s="14">
        <f>'SDR Cost Estimate (FY08)'!G78-'B2C Cost Est (FY08)'!G78</f>
        <v>0</v>
      </c>
      <c r="H78" s="14">
        <f>'SDR Cost Estimate (FY08)'!H78-'B2C Cost Est (FY08)'!H78</f>
        <v>0</v>
      </c>
      <c r="I78" s="14">
        <f>'SDR Cost Estimate (FY08)'!I78-'B2C Cost Est (FY08)'!I78</f>
        <v>0</v>
      </c>
      <c r="J78" s="14">
        <f>SUM(F78:I78)</f>
        <v>0</v>
      </c>
      <c r="K78" s="16"/>
      <c r="L78" s="17"/>
      <c r="N78" s="14">
        <f>'SDR Cost Estimate (FY08)'!N78-'B2C Cost Est (FY08)'!N78</f>
        <v>0</v>
      </c>
      <c r="O78" s="15">
        <f>'SDR Cost Estimate (FY08)'!O78-'B2C Cost Est (FY08)'!O78</f>
        <v>0</v>
      </c>
      <c r="P78" s="14">
        <f>'SDR Cost Estimate (FY08)'!P78-'B2C Cost Est (FY08)'!P78</f>
        <v>0</v>
      </c>
      <c r="Q78" s="14">
        <f>'SDR Cost Estimate (FY08)'!Q78-'B2C Cost Est (FY08)'!Q78</f>
        <v>0</v>
      </c>
      <c r="R78" s="14">
        <f>'SDR Cost Estimate (FY08)'!R78-'B2C Cost Est (FY08)'!R78</f>
        <v>0</v>
      </c>
      <c r="S78" s="14">
        <f>'SDR Cost Estimate (FY08)'!S78-'B2C Cost Est (FY08)'!S78</f>
        <v>0</v>
      </c>
      <c r="T78" s="14">
        <f>'SDR Cost Estimate (FY08)'!T78-'B2C Cost Est (FY08)'!T78</f>
        <v>0</v>
      </c>
      <c r="U78" s="14">
        <f>SUM(Q78:T78)</f>
        <v>0</v>
      </c>
      <c r="V78" s="16"/>
      <c r="W78" s="17"/>
      <c r="Y78" s="14">
        <f>'SDR Cost Estimate (FY08)'!Y78-'B2C Cost Est (FY08)'!Y78</f>
        <v>0</v>
      </c>
      <c r="Z78" s="15">
        <f>'SDR Cost Estimate (FY08)'!Z78-'B2C Cost Est (FY08)'!Z78</f>
        <v>0</v>
      </c>
      <c r="AA78" s="14">
        <f>'SDR Cost Estimate (FY08)'!AA78-'B2C Cost Est (FY08)'!AA78</f>
        <v>0</v>
      </c>
      <c r="AB78" s="14">
        <f>'SDR Cost Estimate (FY08)'!AB78-'B2C Cost Est (FY08)'!AB78</f>
        <v>0</v>
      </c>
      <c r="AC78" s="14">
        <f>'SDR Cost Estimate (FY08)'!AC78-'B2C Cost Est (FY08)'!AC78</f>
        <v>0</v>
      </c>
      <c r="AD78" s="14">
        <f>'SDR Cost Estimate (FY08)'!AD78-'B2C Cost Est (FY08)'!AD78</f>
        <v>0</v>
      </c>
      <c r="AE78" s="14">
        <f>'SDR Cost Estimate (FY08)'!AE78-'B2C Cost Est (FY08)'!AE78</f>
        <v>0</v>
      </c>
      <c r="AF78" s="14">
        <f>SUM(AB78:AE78)</f>
        <v>0</v>
      </c>
      <c r="AG78" s="16"/>
      <c r="AH78" s="17"/>
      <c r="AJ78" s="14">
        <f>'SDR Cost Estimate (FY08)'!AJ78-'B2C Cost Est (FY08)'!AJ78</f>
        <v>0</v>
      </c>
      <c r="AK78" s="15">
        <f>'SDR Cost Estimate (FY08)'!AK78-'B2C Cost Est (FY08)'!AK78</f>
        <v>0</v>
      </c>
      <c r="AL78" s="14">
        <f>'SDR Cost Estimate (FY08)'!AL78-'B2C Cost Est (FY08)'!AL78</f>
        <v>0</v>
      </c>
      <c r="AM78" s="14">
        <f>'SDR Cost Estimate (FY08)'!AM78-'B2C Cost Est (FY08)'!AM78</f>
        <v>0</v>
      </c>
      <c r="AN78" s="14">
        <f>'SDR Cost Estimate (FY08)'!AN78-'B2C Cost Est (FY08)'!AN78</f>
        <v>0</v>
      </c>
      <c r="AO78" s="14">
        <f>'SDR Cost Estimate (FY08)'!AO78-'B2C Cost Est (FY08)'!AO78</f>
        <v>0</v>
      </c>
      <c r="AP78" s="14">
        <f>'SDR Cost Estimate (FY08)'!AP78-'B2C Cost Est (FY08)'!AP78</f>
        <v>0</v>
      </c>
      <c r="AQ78" s="14">
        <f>SUM(AM78:AP78)</f>
        <v>0</v>
      </c>
      <c r="AR78" s="16"/>
      <c r="AS78" s="17"/>
      <c r="AU78" s="14">
        <f>'SDR Cost Estimate (FY08)'!AU78-'B2C Cost Est (FY08)'!AU78</f>
        <v>0</v>
      </c>
      <c r="AV78" s="15">
        <f>'SDR Cost Estimate (FY08)'!AV78-'B2C Cost Est (FY08)'!AV78</f>
        <v>0</v>
      </c>
      <c r="AW78" s="14">
        <f>'SDR Cost Estimate (FY08)'!AW78-'B2C Cost Est (FY08)'!AW78</f>
        <v>0</v>
      </c>
      <c r="AX78" s="14">
        <f>'SDR Cost Estimate (FY08)'!AX78-'B2C Cost Est (FY08)'!AX78</f>
        <v>0</v>
      </c>
      <c r="AY78" s="14">
        <f>'SDR Cost Estimate (FY08)'!AY78-'B2C Cost Est (FY08)'!AY78</f>
        <v>0</v>
      </c>
      <c r="AZ78" s="14">
        <f>'SDR Cost Estimate (FY08)'!AZ78-'B2C Cost Est (FY08)'!AZ78</f>
        <v>0</v>
      </c>
      <c r="BA78" s="14">
        <f>'SDR Cost Estimate (FY08)'!BA78-'B2C Cost Est (FY08)'!BA78</f>
        <v>0</v>
      </c>
      <c r="BB78" s="14">
        <f>SUM(AX78:BA78)</f>
        <v>0</v>
      </c>
      <c r="BC78" s="16"/>
    </row>
    <row r="79" spans="1:55" ht="12.75">
      <c r="A79" s="23">
        <v>6.2</v>
      </c>
      <c r="B79" s="19" t="s">
        <v>964</v>
      </c>
      <c r="K79" s="22"/>
      <c r="V79" s="22" t="s">
        <v>683</v>
      </c>
      <c r="AG79" s="22" t="s">
        <v>683</v>
      </c>
      <c r="AR79" s="22" t="s">
        <v>683</v>
      </c>
      <c r="BC79" s="22" t="s">
        <v>683</v>
      </c>
    </row>
    <row r="80" spans="1:55" ht="12.75">
      <c r="A80" s="23" t="s">
        <v>965</v>
      </c>
      <c r="B80" s="19" t="s">
        <v>966</v>
      </c>
      <c r="C80" s="14">
        <f>'SDR Cost Estimate (FY08)'!C80-'B2C Cost Est (FY08)'!C80</f>
        <v>0</v>
      </c>
      <c r="D80" s="15">
        <f>'SDR Cost Estimate (FY08)'!D80-'B2C Cost Est (FY08)'!D80</f>
        <v>0</v>
      </c>
      <c r="E80" s="14">
        <f>'SDR Cost Estimate (FY08)'!E80-'B2C Cost Est (FY08)'!E80</f>
        <v>0</v>
      </c>
      <c r="F80" s="14">
        <f>'SDR Cost Estimate (FY08)'!F80-'B2C Cost Est (FY08)'!F80</f>
        <v>0</v>
      </c>
      <c r="G80" s="14">
        <f>'SDR Cost Estimate (FY08)'!G80-'B2C Cost Est (FY08)'!G80</f>
        <v>0</v>
      </c>
      <c r="H80" s="14">
        <f>'SDR Cost Estimate (FY08)'!H80-'B2C Cost Est (FY08)'!H80</f>
        <v>0</v>
      </c>
      <c r="I80" s="14">
        <f>'SDR Cost Estimate (FY08)'!I80-'B2C Cost Est (FY08)'!I80</f>
        <v>0</v>
      </c>
      <c r="J80" s="14">
        <f>SUM(F80:I80)</f>
        <v>0</v>
      </c>
      <c r="K80" s="16"/>
      <c r="L80" s="17"/>
      <c r="N80" s="14">
        <f>'SDR Cost Estimate (FY08)'!N80-'B2C Cost Est (FY08)'!N80</f>
        <v>0</v>
      </c>
      <c r="O80" s="15">
        <f>'SDR Cost Estimate (FY08)'!O80-'B2C Cost Est (FY08)'!O80</f>
        <v>0</v>
      </c>
      <c r="P80" s="14">
        <f>'SDR Cost Estimate (FY08)'!P80-'B2C Cost Est (FY08)'!P80</f>
        <v>0</v>
      </c>
      <c r="Q80" s="14">
        <f>'SDR Cost Estimate (FY08)'!Q80-'B2C Cost Est (FY08)'!Q80</f>
        <v>0</v>
      </c>
      <c r="R80" s="14">
        <f>'SDR Cost Estimate (FY08)'!R80-'B2C Cost Est (FY08)'!R80</f>
        <v>0</v>
      </c>
      <c r="S80" s="14">
        <f>'SDR Cost Estimate (FY08)'!S80-'B2C Cost Est (FY08)'!S80</f>
        <v>0</v>
      </c>
      <c r="T80" s="14">
        <f>'SDR Cost Estimate (FY08)'!T80-'B2C Cost Est (FY08)'!T80</f>
        <v>0</v>
      </c>
      <c r="U80" s="14">
        <f>SUM(Q80:T80)</f>
        <v>0</v>
      </c>
      <c r="V80" s="16"/>
      <c r="W80" s="17"/>
      <c r="Y80" s="14">
        <f>'SDR Cost Estimate (FY08)'!Y80-'B2C Cost Est (FY08)'!Y80</f>
        <v>0</v>
      </c>
      <c r="Z80" s="15">
        <f>'SDR Cost Estimate (FY08)'!Z80-'B2C Cost Est (FY08)'!Z80</f>
        <v>0</v>
      </c>
      <c r="AA80" s="14">
        <f>'SDR Cost Estimate (FY08)'!AA80-'B2C Cost Est (FY08)'!AA80</f>
        <v>0</v>
      </c>
      <c r="AB80" s="14">
        <f>'SDR Cost Estimate (FY08)'!AB80-'B2C Cost Est (FY08)'!AB80</f>
        <v>0</v>
      </c>
      <c r="AC80" s="14">
        <f>'SDR Cost Estimate (FY08)'!AC80-'B2C Cost Est (FY08)'!AC80</f>
        <v>0</v>
      </c>
      <c r="AD80" s="14">
        <f>'SDR Cost Estimate (FY08)'!AD80-'B2C Cost Est (FY08)'!AD80</f>
        <v>0</v>
      </c>
      <c r="AE80" s="14">
        <f>'SDR Cost Estimate (FY08)'!AE80-'B2C Cost Est (FY08)'!AE80</f>
        <v>0</v>
      </c>
      <c r="AF80" s="14">
        <f>SUM(AB80:AE80)</f>
        <v>0</v>
      </c>
      <c r="AG80" s="16"/>
      <c r="AH80" s="17"/>
      <c r="AJ80" s="14">
        <f>'SDR Cost Estimate (FY08)'!AJ80-'B2C Cost Est (FY08)'!AJ80</f>
        <v>0</v>
      </c>
      <c r="AK80" s="15">
        <f>'SDR Cost Estimate (FY08)'!AK80-'B2C Cost Est (FY08)'!AK80</f>
        <v>0</v>
      </c>
      <c r="AL80" s="14">
        <f>'SDR Cost Estimate (FY08)'!AL80-'B2C Cost Est (FY08)'!AL80</f>
        <v>0</v>
      </c>
      <c r="AM80" s="14">
        <f>'SDR Cost Estimate (FY08)'!AM80-'B2C Cost Est (FY08)'!AM80</f>
        <v>0</v>
      </c>
      <c r="AN80" s="14">
        <f>'SDR Cost Estimate (FY08)'!AN80-'B2C Cost Est (FY08)'!AN80</f>
        <v>0</v>
      </c>
      <c r="AO80" s="14">
        <f>'SDR Cost Estimate (FY08)'!AO80-'B2C Cost Est (FY08)'!AO80</f>
        <v>0</v>
      </c>
      <c r="AP80" s="14">
        <f>'SDR Cost Estimate (FY08)'!AP80-'B2C Cost Est (FY08)'!AP80</f>
        <v>0</v>
      </c>
      <c r="AQ80" s="14">
        <f>SUM(AM80:AP80)</f>
        <v>0</v>
      </c>
      <c r="AR80" s="16"/>
      <c r="AS80" s="17"/>
      <c r="AU80" s="14">
        <f>'SDR Cost Estimate (FY08)'!AU80-'B2C Cost Est (FY08)'!AU80</f>
        <v>0</v>
      </c>
      <c r="AV80" s="15">
        <f>'SDR Cost Estimate (FY08)'!AV80-'B2C Cost Est (FY08)'!AV80</f>
        <v>0</v>
      </c>
      <c r="AW80" s="14">
        <f>'SDR Cost Estimate (FY08)'!AW80-'B2C Cost Est (FY08)'!AW80</f>
        <v>0</v>
      </c>
      <c r="AX80" s="14">
        <f>'SDR Cost Estimate (FY08)'!AX80-'B2C Cost Est (FY08)'!AX80</f>
        <v>0</v>
      </c>
      <c r="AY80" s="14">
        <f>'SDR Cost Estimate (FY08)'!AY80-'B2C Cost Est (FY08)'!AY80</f>
        <v>0</v>
      </c>
      <c r="AZ80" s="14">
        <f>'SDR Cost Estimate (FY08)'!AZ80-'B2C Cost Est (FY08)'!AZ80</f>
        <v>0</v>
      </c>
      <c r="BA80" s="14">
        <f>'SDR Cost Estimate (FY08)'!BA80-'B2C Cost Est (FY08)'!BA80</f>
        <v>0</v>
      </c>
      <c r="BB80" s="14">
        <f>SUM(AX80:BA80)</f>
        <v>0</v>
      </c>
      <c r="BC80" s="16"/>
    </row>
    <row r="81" spans="1:55" ht="12.75">
      <c r="A81" s="23" t="s">
        <v>967</v>
      </c>
      <c r="B81" s="19" t="s">
        <v>968</v>
      </c>
      <c r="C81" s="14">
        <f>'SDR Cost Estimate (FY08)'!C81-'B2C Cost Est (FY08)'!C81</f>
        <v>33.5</v>
      </c>
      <c r="D81" s="15">
        <f>'SDR Cost Estimate (FY08)'!D81-'B2C Cost Est (FY08)'!D81</f>
        <v>0.01861111111111108</v>
      </c>
      <c r="E81" s="14">
        <f>'SDR Cost Estimate (FY08)'!E81-'B2C Cost Est (FY08)'!E81</f>
        <v>0</v>
      </c>
      <c r="F81" s="14">
        <f>'SDR Cost Estimate (FY08)'!F81-'B2C Cost Est (FY08)'!F81</f>
        <v>2.8275716666666995</v>
      </c>
      <c r="G81" s="14">
        <f>'SDR Cost Estimate (FY08)'!G81-'B2C Cost Est (FY08)'!G81</f>
        <v>0</v>
      </c>
      <c r="H81" s="14">
        <f>'SDR Cost Estimate (FY08)'!H81-'B2C Cost Est (FY08)'!H81</f>
        <v>0</v>
      </c>
      <c r="I81" s="14">
        <f>'SDR Cost Estimate (FY08)'!I81-'B2C Cost Est (FY08)'!I81</f>
        <v>0.33900878608643215</v>
      </c>
      <c r="J81" s="14">
        <f>SUM(F81:I81)</f>
        <v>3.1665804527531316</v>
      </c>
      <c r="K81" s="16"/>
      <c r="L81" s="17"/>
      <c r="N81" s="14">
        <f>'SDR Cost Estimate (FY08)'!N81-'B2C Cost Est (FY08)'!N81</f>
        <v>0</v>
      </c>
      <c r="O81" s="15">
        <f>'SDR Cost Estimate (FY08)'!O81-'B2C Cost Est (FY08)'!O81</f>
        <v>0</v>
      </c>
      <c r="P81" s="14">
        <f>'SDR Cost Estimate (FY08)'!P81-'B2C Cost Est (FY08)'!P81</f>
        <v>0</v>
      </c>
      <c r="Q81" s="14">
        <f>'SDR Cost Estimate (FY08)'!Q81-'B2C Cost Est (FY08)'!Q81</f>
        <v>0</v>
      </c>
      <c r="R81" s="14">
        <f>'SDR Cost Estimate (FY08)'!R81-'B2C Cost Est (FY08)'!R81</f>
        <v>0</v>
      </c>
      <c r="S81" s="14">
        <f>'SDR Cost Estimate (FY08)'!S81-'B2C Cost Est (FY08)'!S81</f>
        <v>0</v>
      </c>
      <c r="T81" s="14">
        <f>'SDR Cost Estimate (FY08)'!T81-'B2C Cost Est (FY08)'!T81</f>
        <v>0</v>
      </c>
      <c r="U81" s="14">
        <f>SUM(Q81:T81)</f>
        <v>0</v>
      </c>
      <c r="V81" s="16"/>
      <c r="W81" s="17"/>
      <c r="Y81" s="14">
        <f>'SDR Cost Estimate (FY08)'!Y81-'B2C Cost Est (FY08)'!Y81</f>
        <v>15.5</v>
      </c>
      <c r="Z81" s="15">
        <f>'SDR Cost Estimate (FY08)'!Z81-'B2C Cost Est (FY08)'!Z81</f>
        <v>0.008611111111111097</v>
      </c>
      <c r="AA81" s="14">
        <f>'SDR Cost Estimate (FY08)'!AA81-'B2C Cost Est (FY08)'!AA81</f>
        <v>0</v>
      </c>
      <c r="AB81" s="14">
        <f>'SDR Cost Estimate (FY08)'!AB81-'B2C Cost Est (FY08)'!AB81</f>
        <v>1.4187872222222673</v>
      </c>
      <c r="AC81" s="14">
        <f>'SDR Cost Estimate (FY08)'!AC81-'B2C Cost Est (FY08)'!AC81</f>
        <v>0</v>
      </c>
      <c r="AD81" s="14">
        <f>'SDR Cost Estimate (FY08)'!AD81-'B2C Cost Est (FY08)'!AD81</f>
        <v>0</v>
      </c>
      <c r="AE81" s="14">
        <f>'SDR Cost Estimate (FY08)'!AE81-'B2C Cost Est (FY08)'!AE81</f>
        <v>0.1276909514795741</v>
      </c>
      <c r="AF81" s="14">
        <f>SUM(AB81:AE81)</f>
        <v>1.5464781737018414</v>
      </c>
      <c r="AG81" s="16"/>
      <c r="AH81" s="17"/>
      <c r="AJ81" s="14">
        <f>'SDR Cost Estimate (FY08)'!AJ81-'B2C Cost Est (FY08)'!AJ81</f>
        <v>18</v>
      </c>
      <c r="AK81" s="15">
        <f>'SDR Cost Estimate (FY08)'!AK81-'B2C Cost Est (FY08)'!AK81</f>
        <v>0.010000000000000009</v>
      </c>
      <c r="AL81" s="14">
        <f>'SDR Cost Estimate (FY08)'!AL81-'B2C Cost Est (FY08)'!AL81</f>
        <v>0</v>
      </c>
      <c r="AM81" s="14">
        <f>'SDR Cost Estimate (FY08)'!AM81-'B2C Cost Est (FY08)'!AM81</f>
        <v>1.4087844444444322</v>
      </c>
      <c r="AN81" s="14">
        <f>'SDR Cost Estimate (FY08)'!AN81-'B2C Cost Est (FY08)'!AN81</f>
        <v>0</v>
      </c>
      <c r="AO81" s="14">
        <f>'SDR Cost Estimate (FY08)'!AO81-'B2C Cost Est (FY08)'!AO81</f>
        <v>0</v>
      </c>
      <c r="AP81" s="14">
        <f>'SDR Cost Estimate (FY08)'!AP81-'B2C Cost Est (FY08)'!AP81</f>
        <v>0.2113178346068576</v>
      </c>
      <c r="AQ81" s="14">
        <f>SUM(AM81:AP81)</f>
        <v>1.6201022790512898</v>
      </c>
      <c r="AR81" s="16"/>
      <c r="AS81" s="17"/>
      <c r="AU81" s="14">
        <f>'SDR Cost Estimate (FY08)'!AU81-'B2C Cost Est (FY08)'!AU81</f>
        <v>0</v>
      </c>
      <c r="AV81" s="15">
        <f>'SDR Cost Estimate (FY08)'!AV81-'B2C Cost Est (FY08)'!AV81</f>
        <v>0</v>
      </c>
      <c r="AW81" s="14">
        <f>'SDR Cost Estimate (FY08)'!AW81-'B2C Cost Est (FY08)'!AW81</f>
        <v>0</v>
      </c>
      <c r="AX81" s="14">
        <f>'SDR Cost Estimate (FY08)'!AX81-'B2C Cost Est (FY08)'!AX81</f>
        <v>0</v>
      </c>
      <c r="AY81" s="14">
        <f>'SDR Cost Estimate (FY08)'!AY81-'B2C Cost Est (FY08)'!AY81</f>
        <v>0</v>
      </c>
      <c r="AZ81" s="14">
        <f>'SDR Cost Estimate (FY08)'!AZ81-'B2C Cost Est (FY08)'!AZ81</f>
        <v>0</v>
      </c>
      <c r="BA81" s="14">
        <f>'SDR Cost Estimate (FY08)'!BA81-'B2C Cost Est (FY08)'!BA81</f>
        <v>0</v>
      </c>
      <c r="BB81" s="14">
        <f>SUM(AX81:BA81)</f>
        <v>0</v>
      </c>
      <c r="BC81" s="16"/>
    </row>
    <row r="82" spans="1:55" ht="12.75">
      <c r="A82" s="23" t="s">
        <v>969</v>
      </c>
      <c r="B82" s="19" t="s">
        <v>970</v>
      </c>
      <c r="C82" s="14">
        <f>'SDR Cost Estimate (FY08)'!C82-'B2C Cost Est (FY08)'!C82</f>
        <v>0</v>
      </c>
      <c r="D82" s="15">
        <f>'SDR Cost Estimate (FY08)'!D82-'B2C Cost Est (FY08)'!D82</f>
        <v>0</v>
      </c>
      <c r="E82" s="14">
        <f>'SDR Cost Estimate (FY08)'!E82-'B2C Cost Est (FY08)'!E82</f>
        <v>0</v>
      </c>
      <c r="F82" s="14">
        <f>'SDR Cost Estimate (FY08)'!F82-'B2C Cost Est (FY08)'!F82</f>
        <v>0</v>
      </c>
      <c r="G82" s="14">
        <f>'SDR Cost Estimate (FY08)'!G82-'B2C Cost Est (FY08)'!G82</f>
        <v>0</v>
      </c>
      <c r="H82" s="14">
        <f>'SDR Cost Estimate (FY08)'!H82-'B2C Cost Est (FY08)'!H82</f>
        <v>0</v>
      </c>
      <c r="I82" s="14">
        <f>'SDR Cost Estimate (FY08)'!I82-'B2C Cost Est (FY08)'!I82</f>
        <v>0</v>
      </c>
      <c r="J82" s="14">
        <f>SUM(F82:I82)</f>
        <v>0</v>
      </c>
      <c r="K82" s="16"/>
      <c r="L82" s="17"/>
      <c r="N82" s="14">
        <f>'SDR Cost Estimate (FY08)'!N82-'B2C Cost Est (FY08)'!N82</f>
        <v>0</v>
      </c>
      <c r="O82" s="15">
        <f>'SDR Cost Estimate (FY08)'!O82-'B2C Cost Est (FY08)'!O82</f>
        <v>0</v>
      </c>
      <c r="P82" s="14">
        <f>'SDR Cost Estimate (FY08)'!P82-'B2C Cost Est (FY08)'!P82</f>
        <v>0</v>
      </c>
      <c r="Q82" s="14">
        <f>'SDR Cost Estimate (FY08)'!Q82-'B2C Cost Est (FY08)'!Q82</f>
        <v>0</v>
      </c>
      <c r="R82" s="14">
        <f>'SDR Cost Estimate (FY08)'!R82-'B2C Cost Est (FY08)'!R82</f>
        <v>0</v>
      </c>
      <c r="S82" s="14">
        <f>'SDR Cost Estimate (FY08)'!S82-'B2C Cost Est (FY08)'!S82</f>
        <v>0</v>
      </c>
      <c r="T82" s="14">
        <f>'SDR Cost Estimate (FY08)'!T82-'B2C Cost Est (FY08)'!T82</f>
        <v>0</v>
      </c>
      <c r="U82" s="14">
        <f>SUM(Q82:T82)</f>
        <v>0</v>
      </c>
      <c r="V82" s="16"/>
      <c r="W82" s="17"/>
      <c r="Y82" s="14">
        <f>'SDR Cost Estimate (FY08)'!Y82-'B2C Cost Est (FY08)'!Y82</f>
        <v>0</v>
      </c>
      <c r="Z82" s="15">
        <f>'SDR Cost Estimate (FY08)'!Z82-'B2C Cost Est (FY08)'!Z82</f>
        <v>0</v>
      </c>
      <c r="AA82" s="14">
        <f>'SDR Cost Estimate (FY08)'!AA82-'B2C Cost Est (FY08)'!AA82</f>
        <v>0</v>
      </c>
      <c r="AB82" s="14">
        <f>'SDR Cost Estimate (FY08)'!AB82-'B2C Cost Est (FY08)'!AB82</f>
        <v>0</v>
      </c>
      <c r="AC82" s="14">
        <f>'SDR Cost Estimate (FY08)'!AC82-'B2C Cost Est (FY08)'!AC82</f>
        <v>0</v>
      </c>
      <c r="AD82" s="14">
        <f>'SDR Cost Estimate (FY08)'!AD82-'B2C Cost Est (FY08)'!AD82</f>
        <v>0</v>
      </c>
      <c r="AE82" s="14">
        <f>'SDR Cost Estimate (FY08)'!AE82-'B2C Cost Est (FY08)'!AE82</f>
        <v>0</v>
      </c>
      <c r="AF82" s="14">
        <f>SUM(AB82:AE82)</f>
        <v>0</v>
      </c>
      <c r="AG82" s="16"/>
      <c r="AH82" s="17"/>
      <c r="AJ82" s="14">
        <f>'SDR Cost Estimate (FY08)'!AJ82-'B2C Cost Est (FY08)'!AJ82</f>
        <v>0</v>
      </c>
      <c r="AK82" s="15">
        <f>'SDR Cost Estimate (FY08)'!AK82-'B2C Cost Est (FY08)'!AK82</f>
        <v>0</v>
      </c>
      <c r="AL82" s="14">
        <f>'SDR Cost Estimate (FY08)'!AL82-'B2C Cost Est (FY08)'!AL82</f>
        <v>0</v>
      </c>
      <c r="AM82" s="14">
        <f>'SDR Cost Estimate (FY08)'!AM82-'B2C Cost Est (FY08)'!AM82</f>
        <v>0</v>
      </c>
      <c r="AN82" s="14">
        <f>'SDR Cost Estimate (FY08)'!AN82-'B2C Cost Est (FY08)'!AN82</f>
        <v>0</v>
      </c>
      <c r="AO82" s="14">
        <f>'SDR Cost Estimate (FY08)'!AO82-'B2C Cost Est (FY08)'!AO82</f>
        <v>0</v>
      </c>
      <c r="AP82" s="14">
        <f>'SDR Cost Estimate (FY08)'!AP82-'B2C Cost Est (FY08)'!AP82</f>
        <v>0</v>
      </c>
      <c r="AQ82" s="14">
        <f>SUM(AM82:AP82)</f>
        <v>0</v>
      </c>
      <c r="AR82" s="16"/>
      <c r="AS82" s="17"/>
      <c r="AU82" s="14">
        <f>'SDR Cost Estimate (FY08)'!AU82-'B2C Cost Est (FY08)'!AU82</f>
        <v>0</v>
      </c>
      <c r="AV82" s="15">
        <f>'SDR Cost Estimate (FY08)'!AV82-'B2C Cost Est (FY08)'!AV82</f>
        <v>0</v>
      </c>
      <c r="AW82" s="14">
        <f>'SDR Cost Estimate (FY08)'!AW82-'B2C Cost Est (FY08)'!AW82</f>
        <v>0</v>
      </c>
      <c r="AX82" s="14">
        <f>'SDR Cost Estimate (FY08)'!AX82-'B2C Cost Est (FY08)'!AX82</f>
        <v>0</v>
      </c>
      <c r="AY82" s="14">
        <f>'SDR Cost Estimate (FY08)'!AY82-'B2C Cost Est (FY08)'!AY82</f>
        <v>0</v>
      </c>
      <c r="AZ82" s="14">
        <f>'SDR Cost Estimate (FY08)'!AZ82-'B2C Cost Est (FY08)'!AZ82</f>
        <v>0</v>
      </c>
      <c r="BA82" s="14">
        <f>'SDR Cost Estimate (FY08)'!BA82-'B2C Cost Est (FY08)'!BA82</f>
        <v>0</v>
      </c>
      <c r="BB82" s="14">
        <f>SUM(AX82:BA82)</f>
        <v>0</v>
      </c>
      <c r="BC82" s="16"/>
    </row>
    <row r="83" spans="1:55" ht="12.75">
      <c r="A83" s="23">
        <v>6.3</v>
      </c>
      <c r="B83" s="19" t="s">
        <v>971</v>
      </c>
      <c r="K83" s="22"/>
      <c r="V83" s="22" t="s">
        <v>683</v>
      </c>
      <c r="AG83" s="22" t="s">
        <v>683</v>
      </c>
      <c r="AR83" s="22" t="s">
        <v>683</v>
      </c>
      <c r="BC83" s="22" t="s">
        <v>683</v>
      </c>
    </row>
    <row r="84" spans="1:55" ht="12.75">
      <c r="A84" s="23" t="s">
        <v>972</v>
      </c>
      <c r="B84" s="13" t="s">
        <v>973</v>
      </c>
      <c r="C84" s="14">
        <f>'SDR Cost Estimate (FY08)'!C84-'B2C Cost Est (FY08)'!C84</f>
        <v>0</v>
      </c>
      <c r="D84" s="15">
        <f>'SDR Cost Estimate (FY08)'!D84-'B2C Cost Est (FY08)'!D84</f>
        <v>0</v>
      </c>
      <c r="E84" s="14">
        <f>'SDR Cost Estimate (FY08)'!E84-'B2C Cost Est (FY08)'!E84</f>
        <v>0</v>
      </c>
      <c r="F84" s="14">
        <f>'SDR Cost Estimate (FY08)'!F84-'B2C Cost Est (FY08)'!F84</f>
        <v>0</v>
      </c>
      <c r="G84" s="14">
        <f>'SDR Cost Estimate (FY08)'!G84-'B2C Cost Est (FY08)'!G84</f>
        <v>0</v>
      </c>
      <c r="H84" s="14">
        <f>'SDR Cost Estimate (FY08)'!H84-'B2C Cost Est (FY08)'!H84</f>
        <v>0</v>
      </c>
      <c r="I84" s="14">
        <f>'SDR Cost Estimate (FY08)'!I84-'B2C Cost Est (FY08)'!I84</f>
        <v>0</v>
      </c>
      <c r="J84" s="14">
        <f>SUM(F84:I84)</f>
        <v>0</v>
      </c>
      <c r="K84" s="16"/>
      <c r="L84" s="17"/>
      <c r="N84" s="14">
        <f>'SDR Cost Estimate (FY08)'!N84-'B2C Cost Est (FY08)'!N84</f>
        <v>0</v>
      </c>
      <c r="O84" s="15">
        <f>'SDR Cost Estimate (FY08)'!O84-'B2C Cost Est (FY08)'!O84</f>
        <v>0</v>
      </c>
      <c r="P84" s="14">
        <f>'SDR Cost Estimate (FY08)'!P84-'B2C Cost Est (FY08)'!P84</f>
        <v>0</v>
      </c>
      <c r="Q84" s="14">
        <f>'SDR Cost Estimate (FY08)'!Q84-'B2C Cost Est (FY08)'!Q84</f>
        <v>0</v>
      </c>
      <c r="R84" s="14">
        <f>'SDR Cost Estimate (FY08)'!R84-'B2C Cost Est (FY08)'!R84</f>
        <v>0</v>
      </c>
      <c r="S84" s="14">
        <f>'SDR Cost Estimate (FY08)'!S84-'B2C Cost Est (FY08)'!S84</f>
        <v>0</v>
      </c>
      <c r="T84" s="14">
        <f>'SDR Cost Estimate (FY08)'!T84-'B2C Cost Est (FY08)'!T84</f>
        <v>0</v>
      </c>
      <c r="U84" s="14">
        <f>SUM(Q84:T84)</f>
        <v>0</v>
      </c>
      <c r="V84" s="16"/>
      <c r="W84" s="17"/>
      <c r="Y84" s="14">
        <f>'SDR Cost Estimate (FY08)'!Y84-'B2C Cost Est (FY08)'!Y84</f>
        <v>0</v>
      </c>
      <c r="Z84" s="15">
        <f>'SDR Cost Estimate (FY08)'!Z84-'B2C Cost Est (FY08)'!Z84</f>
        <v>0</v>
      </c>
      <c r="AA84" s="14">
        <f>'SDR Cost Estimate (FY08)'!AA84-'B2C Cost Est (FY08)'!AA84</f>
        <v>0</v>
      </c>
      <c r="AB84" s="14">
        <f>'SDR Cost Estimate (FY08)'!AB84-'B2C Cost Est (FY08)'!AB84</f>
        <v>0</v>
      </c>
      <c r="AC84" s="14">
        <f>'SDR Cost Estimate (FY08)'!AC84-'B2C Cost Est (FY08)'!AC84</f>
        <v>0</v>
      </c>
      <c r="AD84" s="14">
        <f>'SDR Cost Estimate (FY08)'!AD84-'B2C Cost Est (FY08)'!AD84</f>
        <v>0</v>
      </c>
      <c r="AE84" s="14">
        <f>'SDR Cost Estimate (FY08)'!AE84-'B2C Cost Est (FY08)'!AE84</f>
        <v>0</v>
      </c>
      <c r="AF84" s="14">
        <f>SUM(AB84:AE84)</f>
        <v>0</v>
      </c>
      <c r="AG84" s="16"/>
      <c r="AH84" s="17"/>
      <c r="AJ84" s="14">
        <f>'SDR Cost Estimate (FY08)'!AJ84-'B2C Cost Est (FY08)'!AJ84</f>
        <v>0</v>
      </c>
      <c r="AK84" s="15">
        <f>'SDR Cost Estimate (FY08)'!AK84-'B2C Cost Est (FY08)'!AK84</f>
        <v>0</v>
      </c>
      <c r="AL84" s="14">
        <f>'SDR Cost Estimate (FY08)'!AL84-'B2C Cost Est (FY08)'!AL84</f>
        <v>0</v>
      </c>
      <c r="AM84" s="14">
        <f>'SDR Cost Estimate (FY08)'!AM84-'B2C Cost Est (FY08)'!AM84</f>
        <v>0</v>
      </c>
      <c r="AN84" s="14">
        <f>'SDR Cost Estimate (FY08)'!AN84-'B2C Cost Est (FY08)'!AN84</f>
        <v>0</v>
      </c>
      <c r="AO84" s="14">
        <f>'SDR Cost Estimate (FY08)'!AO84-'B2C Cost Est (FY08)'!AO84</f>
        <v>0</v>
      </c>
      <c r="AP84" s="14">
        <f>'SDR Cost Estimate (FY08)'!AP84-'B2C Cost Est (FY08)'!AP84</f>
        <v>0</v>
      </c>
      <c r="AQ84" s="14">
        <f>SUM(AM84:AP84)</f>
        <v>0</v>
      </c>
      <c r="AR84" s="16"/>
      <c r="AS84" s="17"/>
      <c r="AU84" s="14">
        <f>'SDR Cost Estimate (FY08)'!AU84-'B2C Cost Est (FY08)'!AU84</f>
        <v>0</v>
      </c>
      <c r="AV84" s="15">
        <f>'SDR Cost Estimate (FY08)'!AV84-'B2C Cost Est (FY08)'!AV84</f>
        <v>0</v>
      </c>
      <c r="AW84" s="14">
        <f>'SDR Cost Estimate (FY08)'!AW84-'B2C Cost Est (FY08)'!AW84</f>
        <v>0</v>
      </c>
      <c r="AX84" s="14">
        <f>'SDR Cost Estimate (FY08)'!AX84-'B2C Cost Est (FY08)'!AX84</f>
        <v>0</v>
      </c>
      <c r="AY84" s="14">
        <f>'SDR Cost Estimate (FY08)'!AY84-'B2C Cost Est (FY08)'!AY84</f>
        <v>0</v>
      </c>
      <c r="AZ84" s="14">
        <f>'SDR Cost Estimate (FY08)'!AZ84-'B2C Cost Est (FY08)'!AZ84</f>
        <v>0</v>
      </c>
      <c r="BA84" s="14">
        <f>'SDR Cost Estimate (FY08)'!BA84-'B2C Cost Est (FY08)'!BA84</f>
        <v>0</v>
      </c>
      <c r="BB84" s="14">
        <f>SUM(AX84:BA84)</f>
        <v>0</v>
      </c>
      <c r="BC84" s="16"/>
    </row>
    <row r="85" spans="1:55" ht="12.75">
      <c r="A85" s="23" t="s">
        <v>974</v>
      </c>
      <c r="B85" s="19" t="s">
        <v>975</v>
      </c>
      <c r="C85" s="14">
        <f>'SDR Cost Estimate (FY08)'!C85-'B2C Cost Est (FY08)'!C85</f>
        <v>0</v>
      </c>
      <c r="D85" s="15">
        <f>'SDR Cost Estimate (FY08)'!D85-'B2C Cost Est (FY08)'!D85</f>
        <v>0</v>
      </c>
      <c r="E85" s="14">
        <f>'SDR Cost Estimate (FY08)'!E85-'B2C Cost Est (FY08)'!E85</f>
        <v>0</v>
      </c>
      <c r="F85" s="14">
        <f>'SDR Cost Estimate (FY08)'!F85-'B2C Cost Est (FY08)'!F85</f>
        <v>0</v>
      </c>
      <c r="G85" s="14">
        <f>'SDR Cost Estimate (FY08)'!G85-'B2C Cost Est (FY08)'!G85</f>
        <v>0</v>
      </c>
      <c r="H85" s="14">
        <f>'SDR Cost Estimate (FY08)'!H85-'B2C Cost Est (FY08)'!H85</f>
        <v>0</v>
      </c>
      <c r="I85" s="14">
        <f>'SDR Cost Estimate (FY08)'!I85-'B2C Cost Est (FY08)'!I85</f>
        <v>0</v>
      </c>
      <c r="J85" s="14">
        <f>SUM(F85:I85)</f>
        <v>0</v>
      </c>
      <c r="K85" s="16"/>
      <c r="L85" s="17"/>
      <c r="N85" s="14">
        <f>'SDR Cost Estimate (FY08)'!N85-'B2C Cost Est (FY08)'!N85</f>
        <v>0</v>
      </c>
      <c r="O85" s="15">
        <f>'SDR Cost Estimate (FY08)'!O85-'B2C Cost Est (FY08)'!O85</f>
        <v>0</v>
      </c>
      <c r="P85" s="14">
        <f>'SDR Cost Estimate (FY08)'!P85-'B2C Cost Est (FY08)'!P85</f>
        <v>0</v>
      </c>
      <c r="Q85" s="14">
        <f>'SDR Cost Estimate (FY08)'!Q85-'B2C Cost Est (FY08)'!Q85</f>
        <v>0</v>
      </c>
      <c r="R85" s="14">
        <f>'SDR Cost Estimate (FY08)'!R85-'B2C Cost Est (FY08)'!R85</f>
        <v>0</v>
      </c>
      <c r="S85" s="14">
        <f>'SDR Cost Estimate (FY08)'!S85-'B2C Cost Est (FY08)'!S85</f>
        <v>0</v>
      </c>
      <c r="T85" s="14">
        <f>'SDR Cost Estimate (FY08)'!T85-'B2C Cost Est (FY08)'!T85</f>
        <v>0</v>
      </c>
      <c r="U85" s="14">
        <f>SUM(Q85:T85)</f>
        <v>0</v>
      </c>
      <c r="V85" s="16"/>
      <c r="W85" s="17"/>
      <c r="Y85" s="14">
        <f>'SDR Cost Estimate (FY08)'!Y85-'B2C Cost Est (FY08)'!Y85</f>
        <v>0</v>
      </c>
      <c r="Z85" s="15">
        <f>'SDR Cost Estimate (FY08)'!Z85-'B2C Cost Est (FY08)'!Z85</f>
        <v>0</v>
      </c>
      <c r="AA85" s="14">
        <f>'SDR Cost Estimate (FY08)'!AA85-'B2C Cost Est (FY08)'!AA85</f>
        <v>0</v>
      </c>
      <c r="AB85" s="14">
        <f>'SDR Cost Estimate (FY08)'!AB85-'B2C Cost Est (FY08)'!AB85</f>
        <v>0</v>
      </c>
      <c r="AC85" s="14">
        <f>'SDR Cost Estimate (FY08)'!AC85-'B2C Cost Est (FY08)'!AC85</f>
        <v>0</v>
      </c>
      <c r="AD85" s="14">
        <f>'SDR Cost Estimate (FY08)'!AD85-'B2C Cost Est (FY08)'!AD85</f>
        <v>0</v>
      </c>
      <c r="AE85" s="14">
        <f>'SDR Cost Estimate (FY08)'!AE85-'B2C Cost Est (FY08)'!AE85</f>
        <v>0</v>
      </c>
      <c r="AF85" s="14">
        <f>SUM(AB85:AE85)</f>
        <v>0</v>
      </c>
      <c r="AG85" s="16"/>
      <c r="AH85" s="17"/>
      <c r="AJ85" s="14">
        <f>'SDR Cost Estimate (FY08)'!AJ85-'B2C Cost Est (FY08)'!AJ85</f>
        <v>0</v>
      </c>
      <c r="AK85" s="15">
        <f>'SDR Cost Estimate (FY08)'!AK85-'B2C Cost Est (FY08)'!AK85</f>
        <v>0</v>
      </c>
      <c r="AL85" s="14">
        <f>'SDR Cost Estimate (FY08)'!AL85-'B2C Cost Est (FY08)'!AL85</f>
        <v>0</v>
      </c>
      <c r="AM85" s="14">
        <f>'SDR Cost Estimate (FY08)'!AM85-'B2C Cost Est (FY08)'!AM85</f>
        <v>0</v>
      </c>
      <c r="AN85" s="14">
        <f>'SDR Cost Estimate (FY08)'!AN85-'B2C Cost Est (FY08)'!AN85</f>
        <v>0</v>
      </c>
      <c r="AO85" s="14">
        <f>'SDR Cost Estimate (FY08)'!AO85-'B2C Cost Est (FY08)'!AO85</f>
        <v>0</v>
      </c>
      <c r="AP85" s="14">
        <f>'SDR Cost Estimate (FY08)'!AP85-'B2C Cost Est (FY08)'!AP85</f>
        <v>0</v>
      </c>
      <c r="AQ85" s="14">
        <f>SUM(AM85:AP85)</f>
        <v>0</v>
      </c>
      <c r="AR85" s="16"/>
      <c r="AS85" s="17"/>
      <c r="AU85" s="14">
        <f>'SDR Cost Estimate (FY08)'!AU85-'B2C Cost Est (FY08)'!AU85</f>
        <v>0</v>
      </c>
      <c r="AV85" s="15">
        <f>'SDR Cost Estimate (FY08)'!AV85-'B2C Cost Est (FY08)'!AV85</f>
        <v>0</v>
      </c>
      <c r="AW85" s="14">
        <f>'SDR Cost Estimate (FY08)'!AW85-'B2C Cost Est (FY08)'!AW85</f>
        <v>0</v>
      </c>
      <c r="AX85" s="14">
        <f>'SDR Cost Estimate (FY08)'!AX85-'B2C Cost Est (FY08)'!AX85</f>
        <v>0</v>
      </c>
      <c r="AY85" s="14">
        <f>'SDR Cost Estimate (FY08)'!AY85-'B2C Cost Est (FY08)'!AY85</f>
        <v>0</v>
      </c>
      <c r="AZ85" s="14">
        <f>'SDR Cost Estimate (FY08)'!AZ85-'B2C Cost Est (FY08)'!AZ85</f>
        <v>0</v>
      </c>
      <c r="BA85" s="14">
        <f>'SDR Cost Estimate (FY08)'!BA85-'B2C Cost Est (FY08)'!BA85</f>
        <v>0</v>
      </c>
      <c r="BB85" s="14">
        <f>SUM(AX85:BA85)</f>
        <v>0</v>
      </c>
      <c r="BC85" s="16"/>
    </row>
    <row r="86" spans="1:55" ht="12.75">
      <c r="A86" s="23" t="s">
        <v>976</v>
      </c>
      <c r="B86" s="19" t="s">
        <v>977</v>
      </c>
      <c r="C86" s="14">
        <f>'SDR Cost Estimate (FY08)'!C86-'B2C Cost Est (FY08)'!C86</f>
        <v>0</v>
      </c>
      <c r="D86" s="15">
        <f>'SDR Cost Estimate (FY08)'!D86-'B2C Cost Est (FY08)'!D86</f>
        <v>0</v>
      </c>
      <c r="E86" s="14">
        <f>'SDR Cost Estimate (FY08)'!E86-'B2C Cost Est (FY08)'!E86</f>
        <v>0</v>
      </c>
      <c r="F86" s="14">
        <f>'SDR Cost Estimate (FY08)'!F86-'B2C Cost Est (FY08)'!F86</f>
        <v>0</v>
      </c>
      <c r="G86" s="14">
        <f>'SDR Cost Estimate (FY08)'!G86-'B2C Cost Est (FY08)'!G86</f>
        <v>0</v>
      </c>
      <c r="H86" s="14">
        <f>'SDR Cost Estimate (FY08)'!H86-'B2C Cost Est (FY08)'!H86</f>
        <v>0</v>
      </c>
      <c r="I86" s="14">
        <f>'SDR Cost Estimate (FY08)'!I86-'B2C Cost Est (FY08)'!I86</f>
        <v>0</v>
      </c>
      <c r="J86" s="14">
        <f>SUM(F86:I86)</f>
        <v>0</v>
      </c>
      <c r="K86" s="16"/>
      <c r="L86" s="17"/>
      <c r="N86" s="14">
        <f>'SDR Cost Estimate (FY08)'!N86-'B2C Cost Est (FY08)'!N86</f>
        <v>0</v>
      </c>
      <c r="O86" s="15">
        <f>'SDR Cost Estimate (FY08)'!O86-'B2C Cost Est (FY08)'!O86</f>
        <v>0</v>
      </c>
      <c r="P86" s="14">
        <f>'SDR Cost Estimate (FY08)'!P86-'B2C Cost Est (FY08)'!P86</f>
        <v>0</v>
      </c>
      <c r="Q86" s="14">
        <f>'SDR Cost Estimate (FY08)'!Q86-'B2C Cost Est (FY08)'!Q86</f>
        <v>0</v>
      </c>
      <c r="R86" s="14">
        <f>'SDR Cost Estimate (FY08)'!R86-'B2C Cost Est (FY08)'!R86</f>
        <v>0</v>
      </c>
      <c r="S86" s="14">
        <f>'SDR Cost Estimate (FY08)'!S86-'B2C Cost Est (FY08)'!S86</f>
        <v>0</v>
      </c>
      <c r="T86" s="14">
        <f>'SDR Cost Estimate (FY08)'!T86-'B2C Cost Est (FY08)'!T86</f>
        <v>0</v>
      </c>
      <c r="U86" s="14">
        <f>SUM(Q86:T86)</f>
        <v>0</v>
      </c>
      <c r="V86" s="16"/>
      <c r="W86" s="17"/>
      <c r="Y86" s="14">
        <f>'SDR Cost Estimate (FY08)'!Y86-'B2C Cost Est (FY08)'!Y86</f>
        <v>0</v>
      </c>
      <c r="Z86" s="15">
        <f>'SDR Cost Estimate (FY08)'!Z86-'B2C Cost Est (FY08)'!Z86</f>
        <v>0</v>
      </c>
      <c r="AA86" s="14">
        <f>'SDR Cost Estimate (FY08)'!AA86-'B2C Cost Est (FY08)'!AA86</f>
        <v>0</v>
      </c>
      <c r="AB86" s="14">
        <f>'SDR Cost Estimate (FY08)'!AB86-'B2C Cost Est (FY08)'!AB86</f>
        <v>0</v>
      </c>
      <c r="AC86" s="14">
        <f>'SDR Cost Estimate (FY08)'!AC86-'B2C Cost Est (FY08)'!AC86</f>
        <v>0</v>
      </c>
      <c r="AD86" s="14">
        <f>'SDR Cost Estimate (FY08)'!AD86-'B2C Cost Est (FY08)'!AD86</f>
        <v>0</v>
      </c>
      <c r="AE86" s="14">
        <f>'SDR Cost Estimate (FY08)'!AE86-'B2C Cost Est (FY08)'!AE86</f>
        <v>0</v>
      </c>
      <c r="AF86" s="14">
        <f>SUM(AB86:AE86)</f>
        <v>0</v>
      </c>
      <c r="AG86" s="16"/>
      <c r="AH86" s="17"/>
      <c r="AJ86" s="14">
        <f>'SDR Cost Estimate (FY08)'!AJ86-'B2C Cost Est (FY08)'!AJ86</f>
        <v>0</v>
      </c>
      <c r="AK86" s="15">
        <f>'SDR Cost Estimate (FY08)'!AK86-'B2C Cost Est (FY08)'!AK86</f>
        <v>0</v>
      </c>
      <c r="AL86" s="14">
        <f>'SDR Cost Estimate (FY08)'!AL86-'B2C Cost Est (FY08)'!AL86</f>
        <v>0</v>
      </c>
      <c r="AM86" s="14">
        <f>'SDR Cost Estimate (FY08)'!AM86-'B2C Cost Est (FY08)'!AM86</f>
        <v>0</v>
      </c>
      <c r="AN86" s="14">
        <f>'SDR Cost Estimate (FY08)'!AN86-'B2C Cost Est (FY08)'!AN86</f>
        <v>0</v>
      </c>
      <c r="AO86" s="14">
        <f>'SDR Cost Estimate (FY08)'!AO86-'B2C Cost Est (FY08)'!AO86</f>
        <v>0</v>
      </c>
      <c r="AP86" s="14">
        <f>'SDR Cost Estimate (FY08)'!AP86-'B2C Cost Est (FY08)'!AP86</f>
        <v>0</v>
      </c>
      <c r="AQ86" s="14">
        <f>SUM(AM86:AP86)</f>
        <v>0</v>
      </c>
      <c r="AR86" s="16"/>
      <c r="AS86" s="17"/>
      <c r="AU86" s="14">
        <f>'SDR Cost Estimate (FY08)'!AU86-'B2C Cost Est (FY08)'!AU86</f>
        <v>0</v>
      </c>
      <c r="AV86" s="15">
        <f>'SDR Cost Estimate (FY08)'!AV86-'B2C Cost Est (FY08)'!AV86</f>
        <v>0</v>
      </c>
      <c r="AW86" s="14">
        <f>'SDR Cost Estimate (FY08)'!AW86-'B2C Cost Est (FY08)'!AW86</f>
        <v>0</v>
      </c>
      <c r="AX86" s="14">
        <f>'SDR Cost Estimate (FY08)'!AX86-'B2C Cost Est (FY08)'!AX86</f>
        <v>0</v>
      </c>
      <c r="AY86" s="14">
        <f>'SDR Cost Estimate (FY08)'!AY86-'B2C Cost Est (FY08)'!AY86</f>
        <v>0</v>
      </c>
      <c r="AZ86" s="14">
        <f>'SDR Cost Estimate (FY08)'!AZ86-'B2C Cost Est (FY08)'!AZ86</f>
        <v>0</v>
      </c>
      <c r="BA86" s="14">
        <f>'SDR Cost Estimate (FY08)'!BA86-'B2C Cost Est (FY08)'!BA86</f>
        <v>0</v>
      </c>
      <c r="BB86" s="14">
        <f>SUM(AX86:BA86)</f>
        <v>0</v>
      </c>
      <c r="BC86" s="16"/>
    </row>
    <row r="87" spans="1:55" ht="12.75">
      <c r="A87" s="23">
        <v>6.4</v>
      </c>
      <c r="B87" s="19" t="s">
        <v>978</v>
      </c>
      <c r="C87" s="14">
        <f>'SDR Cost Estimate (FY08)'!C87-'B2C Cost Est (FY08)'!C87</f>
        <v>0</v>
      </c>
      <c r="D87" s="15">
        <f>'SDR Cost Estimate (FY08)'!D87-'B2C Cost Est (FY08)'!D87</f>
        <v>0</v>
      </c>
      <c r="E87" s="14">
        <f>'SDR Cost Estimate (FY08)'!E87-'B2C Cost Est (FY08)'!E87</f>
        <v>0</v>
      </c>
      <c r="F87" s="14">
        <f>'SDR Cost Estimate (FY08)'!F87-'B2C Cost Est (FY08)'!F87</f>
        <v>0</v>
      </c>
      <c r="G87" s="14">
        <f>'SDR Cost Estimate (FY08)'!G87-'B2C Cost Est (FY08)'!G87</f>
        <v>0</v>
      </c>
      <c r="H87" s="14">
        <f>'SDR Cost Estimate (FY08)'!H87-'B2C Cost Est (FY08)'!H87</f>
        <v>0</v>
      </c>
      <c r="I87" s="14">
        <f>'SDR Cost Estimate (FY08)'!I87-'B2C Cost Est (FY08)'!I87</f>
        <v>0</v>
      </c>
      <c r="J87" s="14">
        <f>SUM(F87:I87)</f>
        <v>0</v>
      </c>
      <c r="K87" s="16"/>
      <c r="L87" s="17"/>
      <c r="N87" s="14">
        <f>'SDR Cost Estimate (FY08)'!N87-'B2C Cost Est (FY08)'!N87</f>
        <v>0</v>
      </c>
      <c r="O87" s="15">
        <f>'SDR Cost Estimate (FY08)'!O87-'B2C Cost Est (FY08)'!O87</f>
        <v>0</v>
      </c>
      <c r="P87" s="14">
        <f>'SDR Cost Estimate (FY08)'!P87-'B2C Cost Est (FY08)'!P87</f>
        <v>0</v>
      </c>
      <c r="Q87" s="14">
        <f>'SDR Cost Estimate (FY08)'!Q87-'B2C Cost Est (FY08)'!Q87</f>
        <v>0</v>
      </c>
      <c r="R87" s="14">
        <f>'SDR Cost Estimate (FY08)'!R87-'B2C Cost Est (FY08)'!R87</f>
        <v>0</v>
      </c>
      <c r="S87" s="14">
        <f>'SDR Cost Estimate (FY08)'!S87-'B2C Cost Est (FY08)'!S87</f>
        <v>0</v>
      </c>
      <c r="T87" s="14">
        <f>'SDR Cost Estimate (FY08)'!T87-'B2C Cost Est (FY08)'!T87</f>
        <v>0</v>
      </c>
      <c r="U87" s="14">
        <f>SUM(Q87:T87)</f>
        <v>0</v>
      </c>
      <c r="V87" s="16"/>
      <c r="W87" s="17"/>
      <c r="Y87" s="14">
        <f>'SDR Cost Estimate (FY08)'!Y87-'B2C Cost Est (FY08)'!Y87</f>
        <v>0</v>
      </c>
      <c r="Z87" s="15">
        <f>'SDR Cost Estimate (FY08)'!Z87-'B2C Cost Est (FY08)'!Z87</f>
        <v>0</v>
      </c>
      <c r="AA87" s="14">
        <f>'SDR Cost Estimate (FY08)'!AA87-'B2C Cost Est (FY08)'!AA87</f>
        <v>0</v>
      </c>
      <c r="AB87" s="14">
        <f>'SDR Cost Estimate (FY08)'!AB87-'B2C Cost Est (FY08)'!AB87</f>
        <v>0</v>
      </c>
      <c r="AC87" s="14">
        <f>'SDR Cost Estimate (FY08)'!AC87-'B2C Cost Est (FY08)'!AC87</f>
        <v>0</v>
      </c>
      <c r="AD87" s="14">
        <f>'SDR Cost Estimate (FY08)'!AD87-'B2C Cost Est (FY08)'!AD87</f>
        <v>0</v>
      </c>
      <c r="AE87" s="14">
        <f>'SDR Cost Estimate (FY08)'!AE87-'B2C Cost Est (FY08)'!AE87</f>
        <v>0</v>
      </c>
      <c r="AF87" s="14">
        <f>SUM(AB87:AE87)</f>
        <v>0</v>
      </c>
      <c r="AG87" s="16"/>
      <c r="AH87" s="17"/>
      <c r="AJ87" s="14">
        <f>'SDR Cost Estimate (FY08)'!AJ87-'B2C Cost Est (FY08)'!AJ87</f>
        <v>0</v>
      </c>
      <c r="AK87" s="15">
        <f>'SDR Cost Estimate (FY08)'!AK87-'B2C Cost Est (FY08)'!AK87</f>
        <v>0</v>
      </c>
      <c r="AL87" s="14">
        <f>'SDR Cost Estimate (FY08)'!AL87-'B2C Cost Est (FY08)'!AL87</f>
        <v>0</v>
      </c>
      <c r="AM87" s="14">
        <f>'SDR Cost Estimate (FY08)'!AM87-'B2C Cost Est (FY08)'!AM87</f>
        <v>0</v>
      </c>
      <c r="AN87" s="14">
        <f>'SDR Cost Estimate (FY08)'!AN87-'B2C Cost Est (FY08)'!AN87</f>
        <v>0</v>
      </c>
      <c r="AO87" s="14">
        <f>'SDR Cost Estimate (FY08)'!AO87-'B2C Cost Est (FY08)'!AO87</f>
        <v>0</v>
      </c>
      <c r="AP87" s="14">
        <f>'SDR Cost Estimate (FY08)'!AP87-'B2C Cost Est (FY08)'!AP87</f>
        <v>0</v>
      </c>
      <c r="AQ87" s="14">
        <f>SUM(AM87:AP87)</f>
        <v>0</v>
      </c>
      <c r="AR87" s="16"/>
      <c r="AS87" s="17"/>
      <c r="AU87" s="14">
        <f>'SDR Cost Estimate (FY08)'!AU87-'B2C Cost Est (FY08)'!AU87</f>
        <v>0</v>
      </c>
      <c r="AV87" s="15">
        <f>'SDR Cost Estimate (FY08)'!AV87-'B2C Cost Est (FY08)'!AV87</f>
        <v>0</v>
      </c>
      <c r="AW87" s="14">
        <f>'SDR Cost Estimate (FY08)'!AW87-'B2C Cost Est (FY08)'!AW87</f>
        <v>0</v>
      </c>
      <c r="AX87" s="14">
        <f>'SDR Cost Estimate (FY08)'!AX87-'B2C Cost Est (FY08)'!AX87</f>
        <v>0</v>
      </c>
      <c r="AY87" s="14">
        <f>'SDR Cost Estimate (FY08)'!AY87-'B2C Cost Est (FY08)'!AY87</f>
        <v>0</v>
      </c>
      <c r="AZ87" s="14">
        <f>'SDR Cost Estimate (FY08)'!AZ87-'B2C Cost Est (FY08)'!AZ87</f>
        <v>0</v>
      </c>
      <c r="BA87" s="14">
        <f>'SDR Cost Estimate (FY08)'!BA87-'B2C Cost Est (FY08)'!BA87</f>
        <v>0</v>
      </c>
      <c r="BB87" s="14">
        <f>SUM(AX87:BA87)</f>
        <v>0</v>
      </c>
      <c r="BC87" s="16"/>
    </row>
    <row r="88" spans="1:56" ht="12.75">
      <c r="A88" s="8">
        <v>7</v>
      </c>
      <c r="B88" s="9" t="s">
        <v>979</v>
      </c>
      <c r="C88" s="25"/>
      <c r="D88" s="25"/>
      <c r="E88" s="25"/>
      <c r="F88" s="25"/>
      <c r="G88" s="25"/>
      <c r="H88" s="25"/>
      <c r="I88" s="25"/>
      <c r="J88" s="25"/>
      <c r="K88" s="11">
        <f>L88/L$108</f>
        <v>0.19191718207027916</v>
      </c>
      <c r="L88" s="12">
        <f>SUM(J89:J93)</f>
        <v>409.47368412991966</v>
      </c>
      <c r="N88" s="25"/>
      <c r="O88" s="25"/>
      <c r="P88" s="25"/>
      <c r="Q88" s="25"/>
      <c r="R88" s="25"/>
      <c r="S88" s="25"/>
      <c r="T88" s="25"/>
      <c r="U88" s="25"/>
      <c r="V88" s="25"/>
      <c r="W88" s="12">
        <f>SUM(U89:U93)</f>
        <v>9.133300012372436</v>
      </c>
      <c r="Y88" s="25"/>
      <c r="Z88" s="25"/>
      <c r="AA88" s="25"/>
      <c r="AB88" s="25"/>
      <c r="AC88" s="25"/>
      <c r="AD88" s="25"/>
      <c r="AE88" s="25"/>
      <c r="AF88" s="25"/>
      <c r="AG88" s="25"/>
      <c r="AH88" s="12">
        <f>SUM(AF89:AF93)</f>
        <v>53.0550152844262</v>
      </c>
      <c r="AJ88" s="25"/>
      <c r="AK88" s="25"/>
      <c r="AL88" s="25"/>
      <c r="AM88" s="25"/>
      <c r="AN88" s="25"/>
      <c r="AO88" s="25"/>
      <c r="AP88" s="25"/>
      <c r="AQ88" s="25"/>
      <c r="AR88" s="25"/>
      <c r="AS88" s="12">
        <f>SUM(AQ89:AQ93)</f>
        <v>326.77203102755493</v>
      </c>
      <c r="AU88" s="25"/>
      <c r="AV88" s="25"/>
      <c r="AW88" s="25"/>
      <c r="AX88" s="25"/>
      <c r="AY88" s="25"/>
      <c r="AZ88" s="25"/>
      <c r="BA88" s="25"/>
      <c r="BB88" s="25"/>
      <c r="BC88" s="25"/>
      <c r="BD88" s="12">
        <f>SUM(BB89:BB93)</f>
        <v>20.51333780556619</v>
      </c>
    </row>
    <row r="89" spans="1:55" ht="12.75">
      <c r="A89" s="13">
        <v>7.1</v>
      </c>
      <c r="B89" s="19" t="s">
        <v>980</v>
      </c>
      <c r="C89" s="14">
        <f>'SDR Cost Estimate (FY08)'!C89-'B2C Cost Est (FY08)'!C89</f>
        <v>0</v>
      </c>
      <c r="D89" s="15">
        <f>'SDR Cost Estimate (FY08)'!D89-'B2C Cost Est (FY08)'!D89</f>
        <v>0</v>
      </c>
      <c r="E89" s="14">
        <f>'SDR Cost Estimate (FY08)'!E89-'B2C Cost Est (FY08)'!E89</f>
        <v>0</v>
      </c>
      <c r="F89" s="14">
        <f>'SDR Cost Estimate (FY08)'!F89-'B2C Cost Est (FY08)'!F89</f>
        <v>0</v>
      </c>
      <c r="G89" s="14">
        <f>'SDR Cost Estimate (FY08)'!G89-'B2C Cost Est (FY08)'!G89</f>
        <v>0</v>
      </c>
      <c r="H89" s="14">
        <f>'SDR Cost Estimate (FY08)'!H89-'B2C Cost Est (FY08)'!H89</f>
        <v>0</v>
      </c>
      <c r="I89" s="14">
        <f>'SDR Cost Estimate (FY08)'!I89-'B2C Cost Est (FY08)'!I89</f>
        <v>0</v>
      </c>
      <c r="J89" s="14">
        <f>SUM(F89:I89)</f>
        <v>0</v>
      </c>
      <c r="K89" s="16"/>
      <c r="L89" s="17"/>
      <c r="N89" s="14">
        <f>'SDR Cost Estimate (FY08)'!N89-'B2C Cost Est (FY08)'!N89</f>
        <v>0</v>
      </c>
      <c r="O89" s="15">
        <f>'SDR Cost Estimate (FY08)'!O89-'B2C Cost Est (FY08)'!O89</f>
        <v>0</v>
      </c>
      <c r="P89" s="14">
        <f>'SDR Cost Estimate (FY08)'!P89-'B2C Cost Est (FY08)'!P89</f>
        <v>0</v>
      </c>
      <c r="Q89" s="14">
        <f>'SDR Cost Estimate (FY08)'!Q89-'B2C Cost Est (FY08)'!Q89</f>
        <v>0</v>
      </c>
      <c r="R89" s="14">
        <f>'SDR Cost Estimate (FY08)'!R89-'B2C Cost Est (FY08)'!R89</f>
        <v>0</v>
      </c>
      <c r="S89" s="14">
        <f>'SDR Cost Estimate (FY08)'!S89-'B2C Cost Est (FY08)'!S89</f>
        <v>0</v>
      </c>
      <c r="T89" s="14">
        <f>'SDR Cost Estimate (FY08)'!T89-'B2C Cost Est (FY08)'!T89</f>
        <v>0</v>
      </c>
      <c r="U89" s="14">
        <f>SUM(Q89:T89)</f>
        <v>0</v>
      </c>
      <c r="V89" s="16"/>
      <c r="W89" s="17"/>
      <c r="Y89" s="14">
        <f>'SDR Cost Estimate (FY08)'!Y89-'B2C Cost Est (FY08)'!Y89</f>
        <v>0</v>
      </c>
      <c r="Z89" s="15">
        <f>'SDR Cost Estimate (FY08)'!Z89-'B2C Cost Est (FY08)'!Z89</f>
        <v>0</v>
      </c>
      <c r="AA89" s="14">
        <f>'SDR Cost Estimate (FY08)'!AA89-'B2C Cost Est (FY08)'!AA89</f>
        <v>0</v>
      </c>
      <c r="AB89" s="14">
        <f>'SDR Cost Estimate (FY08)'!AB89-'B2C Cost Est (FY08)'!AB89</f>
        <v>0</v>
      </c>
      <c r="AC89" s="14">
        <f>'SDR Cost Estimate (FY08)'!AC89-'B2C Cost Est (FY08)'!AC89</f>
        <v>0</v>
      </c>
      <c r="AD89" s="14">
        <f>'SDR Cost Estimate (FY08)'!AD89-'B2C Cost Est (FY08)'!AD89</f>
        <v>0</v>
      </c>
      <c r="AE89" s="14">
        <f>'SDR Cost Estimate (FY08)'!AE89-'B2C Cost Est (FY08)'!AE89</f>
        <v>0</v>
      </c>
      <c r="AF89" s="14">
        <f>SUM(AB89:AE89)</f>
        <v>0</v>
      </c>
      <c r="AG89" s="16"/>
      <c r="AH89" s="17"/>
      <c r="AJ89" s="14">
        <f>'SDR Cost Estimate (FY08)'!AJ89-'B2C Cost Est (FY08)'!AJ89</f>
        <v>0</v>
      </c>
      <c r="AK89" s="15">
        <f>'SDR Cost Estimate (FY08)'!AK89-'B2C Cost Est (FY08)'!AK89</f>
        <v>0</v>
      </c>
      <c r="AL89" s="14">
        <f>'SDR Cost Estimate (FY08)'!AL89-'B2C Cost Est (FY08)'!AL89</f>
        <v>0</v>
      </c>
      <c r="AM89" s="14">
        <f>'SDR Cost Estimate (FY08)'!AM89-'B2C Cost Est (FY08)'!AM89</f>
        <v>0</v>
      </c>
      <c r="AN89" s="14">
        <f>'SDR Cost Estimate (FY08)'!AN89-'B2C Cost Est (FY08)'!AN89</f>
        <v>0</v>
      </c>
      <c r="AO89" s="14">
        <f>'SDR Cost Estimate (FY08)'!AO89-'B2C Cost Est (FY08)'!AO89</f>
        <v>0</v>
      </c>
      <c r="AP89" s="14">
        <f>'SDR Cost Estimate (FY08)'!AP89-'B2C Cost Est (FY08)'!AP89</f>
        <v>0</v>
      </c>
      <c r="AQ89" s="14">
        <f>SUM(AM89:AP89)</f>
        <v>0</v>
      </c>
      <c r="AR89" s="16"/>
      <c r="AS89" s="17"/>
      <c r="AU89" s="14">
        <f>'SDR Cost Estimate (FY08)'!AU89-'B2C Cost Est (FY08)'!AU89</f>
        <v>0</v>
      </c>
      <c r="AV89" s="15">
        <f>'SDR Cost Estimate (FY08)'!AV89-'B2C Cost Est (FY08)'!AV89</f>
        <v>0</v>
      </c>
      <c r="AW89" s="14">
        <f>'SDR Cost Estimate (FY08)'!AW89-'B2C Cost Est (FY08)'!AW89</f>
        <v>0</v>
      </c>
      <c r="AX89" s="14">
        <f>'SDR Cost Estimate (FY08)'!AX89-'B2C Cost Est (FY08)'!AX89</f>
        <v>0</v>
      </c>
      <c r="AY89" s="14">
        <f>'SDR Cost Estimate (FY08)'!AY89-'B2C Cost Est (FY08)'!AY89</f>
        <v>0</v>
      </c>
      <c r="AZ89" s="14">
        <f>'SDR Cost Estimate (FY08)'!AZ89-'B2C Cost Est (FY08)'!AZ89</f>
        <v>0</v>
      </c>
      <c r="BA89" s="14">
        <f>'SDR Cost Estimate (FY08)'!BA89-'B2C Cost Est (FY08)'!BA89</f>
        <v>0</v>
      </c>
      <c r="BB89" s="14">
        <f>SUM(AX89:BA89)</f>
        <v>0</v>
      </c>
      <c r="BC89" s="16"/>
    </row>
    <row r="90" spans="1:55" ht="12.75">
      <c r="A90" s="13">
        <v>7.2</v>
      </c>
      <c r="B90" s="13" t="s">
        <v>981</v>
      </c>
      <c r="C90" s="14">
        <f>'SDR Cost Estimate (FY08)'!C90-'B2C Cost Est (FY08)'!C90</f>
        <v>316</v>
      </c>
      <c r="D90" s="15">
        <f>'SDR Cost Estimate (FY08)'!D90-'B2C Cost Est (FY08)'!D90</f>
        <v>0.17555555555555546</v>
      </c>
      <c r="E90" s="14">
        <f>'SDR Cost Estimate (FY08)'!E90-'B2C Cost Est (FY08)'!E90</f>
        <v>0</v>
      </c>
      <c r="F90" s="14">
        <f>'SDR Cost Estimate (FY08)'!F90-'B2C Cost Est (FY08)'!F90</f>
        <v>17.075624444444827</v>
      </c>
      <c r="G90" s="14">
        <f>'SDR Cost Estimate (FY08)'!G90-'B2C Cost Est (FY08)'!G90</f>
        <v>150</v>
      </c>
      <c r="H90" s="14">
        <f>'SDR Cost Estimate (FY08)'!H90-'B2C Cost Est (FY08)'!H90</f>
        <v>0</v>
      </c>
      <c r="I90" s="14">
        <f>'SDR Cost Estimate (FY08)'!I90-'B2C Cost Est (FY08)'!I90</f>
        <v>43.439657639543526</v>
      </c>
      <c r="J90" s="14">
        <f>SUM(F90:I90)</f>
        <v>210.51528208398835</v>
      </c>
      <c r="K90" s="16"/>
      <c r="L90" s="17"/>
      <c r="N90" s="14">
        <f>'SDR Cost Estimate (FY08)'!N90-'B2C Cost Est (FY08)'!N90</f>
        <v>0</v>
      </c>
      <c r="O90" s="15">
        <f>'SDR Cost Estimate (FY08)'!O90-'B2C Cost Est (FY08)'!O90</f>
        <v>0</v>
      </c>
      <c r="P90" s="14">
        <f>'SDR Cost Estimate (FY08)'!P90-'B2C Cost Est (FY08)'!P90</f>
        <v>0</v>
      </c>
      <c r="Q90" s="14">
        <f>'SDR Cost Estimate (FY08)'!Q90-'B2C Cost Est (FY08)'!Q90</f>
        <v>0</v>
      </c>
      <c r="R90" s="14">
        <f>'SDR Cost Estimate (FY08)'!R90-'B2C Cost Est (FY08)'!R90</f>
        <v>0</v>
      </c>
      <c r="S90" s="14">
        <f>'SDR Cost Estimate (FY08)'!S90-'B2C Cost Est (FY08)'!S90</f>
        <v>0</v>
      </c>
      <c r="T90" s="14">
        <f>'SDR Cost Estimate (FY08)'!T90-'B2C Cost Est (FY08)'!T90</f>
        <v>0</v>
      </c>
      <c r="U90" s="14">
        <f>SUM(Q90:T90)</f>
        <v>0</v>
      </c>
      <c r="V90" s="16"/>
      <c r="W90" s="17"/>
      <c r="Y90" s="14">
        <f>'SDR Cost Estimate (FY08)'!Y90-'B2C Cost Est (FY08)'!Y90</f>
        <v>0</v>
      </c>
      <c r="Z90" s="15">
        <f>'SDR Cost Estimate (FY08)'!Z90-'B2C Cost Est (FY08)'!Z90</f>
        <v>0</v>
      </c>
      <c r="AA90" s="14">
        <f>'SDR Cost Estimate (FY08)'!AA90-'B2C Cost Est (FY08)'!AA90</f>
        <v>0</v>
      </c>
      <c r="AB90" s="14">
        <f>'SDR Cost Estimate (FY08)'!AB90-'B2C Cost Est (FY08)'!AB90</f>
        <v>0</v>
      </c>
      <c r="AC90" s="14">
        <f>'SDR Cost Estimate (FY08)'!AC90-'B2C Cost Est (FY08)'!AC90</f>
        <v>0</v>
      </c>
      <c r="AD90" s="14">
        <f>'SDR Cost Estimate (FY08)'!AD90-'B2C Cost Est (FY08)'!AD90</f>
        <v>0</v>
      </c>
      <c r="AE90" s="14">
        <f>'SDR Cost Estimate (FY08)'!AE90-'B2C Cost Est (FY08)'!AE90</f>
        <v>0</v>
      </c>
      <c r="AF90" s="14">
        <f>SUM(AB90:AE90)</f>
        <v>0</v>
      </c>
      <c r="AG90" s="16"/>
      <c r="AH90" s="17"/>
      <c r="AJ90" s="14">
        <f>'SDR Cost Estimate (FY08)'!AJ90-'B2C Cost Est (FY08)'!AJ90</f>
        <v>316</v>
      </c>
      <c r="AK90" s="15">
        <f>'SDR Cost Estimate (FY08)'!AK90-'B2C Cost Est (FY08)'!AK90</f>
        <v>0.17555555555555546</v>
      </c>
      <c r="AL90" s="14">
        <f>'SDR Cost Estimate (FY08)'!AL90-'B2C Cost Est (FY08)'!AL90</f>
        <v>0</v>
      </c>
      <c r="AM90" s="14">
        <f>'SDR Cost Estimate (FY08)'!AM90-'B2C Cost Est (FY08)'!AM90</f>
        <v>17.075624444444855</v>
      </c>
      <c r="AN90" s="14">
        <f>'SDR Cost Estimate (FY08)'!AN90-'B2C Cost Est (FY08)'!AN90</f>
        <v>150</v>
      </c>
      <c r="AO90" s="14">
        <f>'SDR Cost Estimate (FY08)'!AO90-'B2C Cost Est (FY08)'!AO90</f>
        <v>0</v>
      </c>
      <c r="AP90" s="14">
        <f>'SDR Cost Estimate (FY08)'!AP90-'B2C Cost Est (FY08)'!AP90</f>
        <v>43.43965763954351</v>
      </c>
      <c r="AQ90" s="14">
        <f>SUM(AM90:AP90)</f>
        <v>210.51528208398838</v>
      </c>
      <c r="AR90" s="16"/>
      <c r="AS90" s="17"/>
      <c r="AU90" s="14">
        <f>'SDR Cost Estimate (FY08)'!AU90-'B2C Cost Est (FY08)'!AU90</f>
        <v>0</v>
      </c>
      <c r="AV90" s="15">
        <f>'SDR Cost Estimate (FY08)'!AV90-'B2C Cost Est (FY08)'!AV90</f>
        <v>0</v>
      </c>
      <c r="AW90" s="14">
        <f>'SDR Cost Estimate (FY08)'!AW90-'B2C Cost Est (FY08)'!AW90</f>
        <v>0</v>
      </c>
      <c r="AX90" s="14">
        <f>'SDR Cost Estimate (FY08)'!AX90-'B2C Cost Est (FY08)'!AX90</f>
        <v>0</v>
      </c>
      <c r="AY90" s="14">
        <f>'SDR Cost Estimate (FY08)'!AY90-'B2C Cost Est (FY08)'!AY90</f>
        <v>0</v>
      </c>
      <c r="AZ90" s="14">
        <f>'SDR Cost Estimate (FY08)'!AZ90-'B2C Cost Est (FY08)'!AZ90</f>
        <v>0</v>
      </c>
      <c r="BA90" s="14">
        <f>'SDR Cost Estimate (FY08)'!BA90-'B2C Cost Est (FY08)'!BA90</f>
        <v>0</v>
      </c>
      <c r="BB90" s="14">
        <f>SUM(AX90:BA90)</f>
        <v>0</v>
      </c>
      <c r="BC90" s="16"/>
    </row>
    <row r="91" spans="1:55" ht="12.75">
      <c r="A91" s="13">
        <v>7.3</v>
      </c>
      <c r="B91" s="19" t="s">
        <v>982</v>
      </c>
      <c r="C91" s="14">
        <f>'SDR Cost Estimate (FY08)'!C91-'B2C Cost Est (FY08)'!C91</f>
        <v>357.5</v>
      </c>
      <c r="D91" s="15">
        <f>'SDR Cost Estimate (FY08)'!D91-'B2C Cost Est (FY08)'!D91</f>
        <v>0.19861111111111107</v>
      </c>
      <c r="E91" s="14">
        <f>'SDR Cost Estimate (FY08)'!E91-'B2C Cost Est (FY08)'!E91</f>
        <v>0</v>
      </c>
      <c r="F91" s="14">
        <f>'SDR Cost Estimate (FY08)'!F91-'B2C Cost Est (FY08)'!F91</f>
        <v>18.685093055555967</v>
      </c>
      <c r="G91" s="14">
        <f>'SDR Cost Estimate (FY08)'!G91-'B2C Cost Est (FY08)'!G91</f>
        <v>18.750099999999975</v>
      </c>
      <c r="H91" s="14">
        <f>'SDR Cost Estimate (FY08)'!H91-'B2C Cost Est (FY08)'!H91</f>
        <v>0</v>
      </c>
      <c r="I91" s="14">
        <f>'SDR Cost Estimate (FY08)'!I91-'B2C Cost Est (FY08)'!I91</f>
        <v>8.23574178085974</v>
      </c>
      <c r="J91" s="14">
        <f>SUM(F91:I91)</f>
        <v>45.67093483641568</v>
      </c>
      <c r="K91" s="16"/>
      <c r="L91" s="17"/>
      <c r="N91" s="14">
        <f>'SDR Cost Estimate (FY08)'!N91-'B2C Cost Est (FY08)'!N91</f>
        <v>0</v>
      </c>
      <c r="O91" s="15">
        <f>'SDR Cost Estimate (FY08)'!O91-'B2C Cost Est (FY08)'!O91</f>
        <v>0</v>
      </c>
      <c r="P91" s="14">
        <f>'SDR Cost Estimate (FY08)'!P91-'B2C Cost Est (FY08)'!P91</f>
        <v>0</v>
      </c>
      <c r="Q91" s="14">
        <f>'SDR Cost Estimate (FY08)'!Q91-'B2C Cost Est (FY08)'!Q91</f>
        <v>0</v>
      </c>
      <c r="R91" s="14">
        <f>'SDR Cost Estimate (FY08)'!R91-'B2C Cost Est (FY08)'!R91</f>
        <v>0</v>
      </c>
      <c r="S91" s="14">
        <f>'SDR Cost Estimate (FY08)'!S91-'B2C Cost Est (FY08)'!S91</f>
        <v>0</v>
      </c>
      <c r="T91" s="14">
        <f>'SDR Cost Estimate (FY08)'!T91-'B2C Cost Est (FY08)'!T91</f>
        <v>0</v>
      </c>
      <c r="U91" s="14">
        <f>SUM(Q91:T91)</f>
        <v>0</v>
      </c>
      <c r="V91" s="16"/>
      <c r="W91" s="17"/>
      <c r="Y91" s="14">
        <f>'SDR Cost Estimate (FY08)'!Y91-'B2C Cost Est (FY08)'!Y91</f>
        <v>56.799999999999955</v>
      </c>
      <c r="Z91" s="15">
        <f>'SDR Cost Estimate (FY08)'!Z91-'B2C Cost Est (FY08)'!Z91</f>
        <v>0.03155555555555545</v>
      </c>
      <c r="AA91" s="14">
        <f>'SDR Cost Estimate (FY08)'!AA91-'B2C Cost Est (FY08)'!AA91</f>
        <v>0</v>
      </c>
      <c r="AB91" s="14">
        <f>'SDR Cost Estimate (FY08)'!AB91-'B2C Cost Est (FY08)'!AB91</f>
        <v>3.910400611111129</v>
      </c>
      <c r="AC91" s="14">
        <f>'SDR Cost Estimate (FY08)'!AC91-'B2C Cost Est (FY08)'!AC91</f>
        <v>10</v>
      </c>
      <c r="AD91" s="14">
        <f>'SDR Cost Estimate (FY08)'!AD91-'B2C Cost Est (FY08)'!AD91</f>
        <v>0</v>
      </c>
      <c r="AE91" s="14">
        <f>'SDR Cost Estimate (FY08)'!AE91-'B2C Cost Est (FY08)'!AE91</f>
        <v>3.0602879577667323</v>
      </c>
      <c r="AF91" s="14">
        <f>SUM(AB91:AE91)</f>
        <v>16.97068856887786</v>
      </c>
      <c r="AG91" s="16"/>
      <c r="AH91" s="17"/>
      <c r="AJ91" s="14">
        <f>'SDR Cost Estimate (FY08)'!AJ91-'B2C Cost Est (FY08)'!AJ91</f>
        <v>300.6999999999998</v>
      </c>
      <c r="AK91" s="15">
        <f>'SDR Cost Estimate (FY08)'!AK91-'B2C Cost Est (FY08)'!AK91</f>
        <v>0.1670555555555555</v>
      </c>
      <c r="AL91" s="14">
        <f>'SDR Cost Estimate (FY08)'!AL91-'B2C Cost Est (FY08)'!AL91</f>
        <v>0</v>
      </c>
      <c r="AM91" s="14">
        <f>'SDR Cost Estimate (FY08)'!AM91-'B2C Cost Est (FY08)'!AM91</f>
        <v>14.774692444444838</v>
      </c>
      <c r="AN91" s="14">
        <f>'SDR Cost Estimate (FY08)'!AN91-'B2C Cost Est (FY08)'!AN91</f>
        <v>8.750099999999975</v>
      </c>
      <c r="AO91" s="14">
        <f>'SDR Cost Estimate (FY08)'!AO91-'B2C Cost Est (FY08)'!AO91</f>
        <v>0</v>
      </c>
      <c r="AP91" s="14">
        <f>'SDR Cost Estimate (FY08)'!AP91-'B2C Cost Est (FY08)'!AP91</f>
        <v>5.175453823093022</v>
      </c>
      <c r="AQ91" s="14">
        <f>SUM(AM91:AP91)</f>
        <v>28.700246267537835</v>
      </c>
      <c r="AR91" s="16"/>
      <c r="AS91" s="17"/>
      <c r="AU91" s="14">
        <f>'SDR Cost Estimate (FY08)'!AU91-'B2C Cost Est (FY08)'!AU91</f>
        <v>0</v>
      </c>
      <c r="AV91" s="15">
        <f>'SDR Cost Estimate (FY08)'!AV91-'B2C Cost Est (FY08)'!AV91</f>
        <v>0</v>
      </c>
      <c r="AW91" s="14">
        <f>'SDR Cost Estimate (FY08)'!AW91-'B2C Cost Est (FY08)'!AW91</f>
        <v>0</v>
      </c>
      <c r="AX91" s="14">
        <f>'SDR Cost Estimate (FY08)'!AX91-'B2C Cost Est (FY08)'!AX91</f>
        <v>0</v>
      </c>
      <c r="AY91" s="14">
        <f>'SDR Cost Estimate (FY08)'!AY91-'B2C Cost Est (FY08)'!AY91</f>
        <v>0</v>
      </c>
      <c r="AZ91" s="14">
        <f>'SDR Cost Estimate (FY08)'!AZ91-'B2C Cost Est (FY08)'!AZ91</f>
        <v>0</v>
      </c>
      <c r="BA91" s="14">
        <f>'SDR Cost Estimate (FY08)'!BA91-'B2C Cost Est (FY08)'!BA91</f>
        <v>0</v>
      </c>
      <c r="BB91" s="14">
        <f>SUM(AX91:BA91)</f>
        <v>0</v>
      </c>
      <c r="BC91" s="16"/>
    </row>
    <row r="92" spans="1:55" ht="12.75">
      <c r="A92" s="13">
        <v>7.4</v>
      </c>
      <c r="B92" s="13" t="s">
        <v>983</v>
      </c>
      <c r="C92" s="14">
        <f>'SDR Cost Estimate (FY08)'!C92-'B2C Cost Est (FY08)'!C92</f>
        <v>1200</v>
      </c>
      <c r="D92" s="15">
        <f>'SDR Cost Estimate (FY08)'!D92-'B2C Cost Est (FY08)'!D92</f>
        <v>0.6666666666666666</v>
      </c>
      <c r="E92" s="14">
        <f>'SDR Cost Estimate (FY08)'!E92-'B2C Cost Est (FY08)'!E92</f>
        <v>0</v>
      </c>
      <c r="F92" s="14">
        <f>'SDR Cost Estimate (FY08)'!F92-'B2C Cost Est (FY08)'!F92</f>
        <v>89.5415111111111</v>
      </c>
      <c r="G92" s="14">
        <f>'SDR Cost Estimate (FY08)'!G92-'B2C Cost Est (FY08)'!G92</f>
        <v>46.35</v>
      </c>
      <c r="H92" s="14">
        <f>'SDR Cost Estimate (FY08)'!H92-'B2C Cost Est (FY08)'!H92</f>
        <v>0</v>
      </c>
      <c r="I92" s="14">
        <f>'SDR Cost Estimate (FY08)'!I92-'B2C Cost Est (FY08)'!I92</f>
        <v>17.395956098404525</v>
      </c>
      <c r="J92" s="14">
        <f>SUM(F92:I92)</f>
        <v>153.28746720951563</v>
      </c>
      <c r="K92" s="16"/>
      <c r="L92" s="17"/>
      <c r="N92" s="14">
        <f>'SDR Cost Estimate (FY08)'!N92-'B2C Cost Est (FY08)'!N92</f>
        <v>100</v>
      </c>
      <c r="O92" s="15">
        <f>'SDR Cost Estimate (FY08)'!O92-'B2C Cost Est (FY08)'!O92</f>
        <v>0.05555555555555555</v>
      </c>
      <c r="P92" s="14">
        <f>'SDR Cost Estimate (FY08)'!P92-'B2C Cost Est (FY08)'!P92</f>
        <v>0</v>
      </c>
      <c r="Q92" s="14">
        <f>'SDR Cost Estimate (FY08)'!Q92-'B2C Cost Est (FY08)'!Q92</f>
        <v>8.303</v>
      </c>
      <c r="R92" s="14">
        <f>'SDR Cost Estimate (FY08)'!R92-'B2C Cost Est (FY08)'!R92</f>
        <v>0</v>
      </c>
      <c r="S92" s="14">
        <f>'SDR Cost Estimate (FY08)'!S92-'B2C Cost Est (FY08)'!S92</f>
        <v>0</v>
      </c>
      <c r="T92" s="14">
        <f>'SDR Cost Estimate (FY08)'!T92-'B2C Cost Est (FY08)'!T92</f>
        <v>0.8303000123724341</v>
      </c>
      <c r="U92" s="14">
        <f>SUM(Q92:T92)</f>
        <v>9.133300012372436</v>
      </c>
      <c r="V92" s="16"/>
      <c r="W92" s="17"/>
      <c r="Y92" s="14">
        <f>'SDR Cost Estimate (FY08)'!Y92-'B2C Cost Est (FY08)'!Y92</f>
        <v>380</v>
      </c>
      <c r="Z92" s="15">
        <f>'SDR Cost Estimate (FY08)'!Z92-'B2C Cost Est (FY08)'!Z92</f>
        <v>0.2111111111111111</v>
      </c>
      <c r="AA92" s="14">
        <f>'SDR Cost Estimate (FY08)'!AA92-'B2C Cost Est (FY08)'!AA92</f>
        <v>0</v>
      </c>
      <c r="AB92" s="14">
        <f>'SDR Cost Estimate (FY08)'!AB92-'B2C Cost Est (FY08)'!AB92</f>
        <v>32.80393333333333</v>
      </c>
      <c r="AC92" s="14">
        <f>'SDR Cost Estimate (FY08)'!AC92-'B2C Cost Est (FY08)'!AC92</f>
        <v>0</v>
      </c>
      <c r="AD92" s="14">
        <f>'SDR Cost Estimate (FY08)'!AD92-'B2C Cost Est (FY08)'!AD92</f>
        <v>0</v>
      </c>
      <c r="AE92" s="14">
        <f>'SDR Cost Estimate (FY08)'!AE92-'B2C Cost Est (FY08)'!AE92</f>
        <v>3.2803933822150033</v>
      </c>
      <c r="AF92" s="14">
        <f>SUM(AB92:AE92)</f>
        <v>36.084326715548336</v>
      </c>
      <c r="AG92" s="16"/>
      <c r="AH92" s="17"/>
      <c r="AJ92" s="14">
        <f>'SDR Cost Estimate (FY08)'!AJ92-'B2C Cost Est (FY08)'!AJ92</f>
        <v>520</v>
      </c>
      <c r="AK92" s="15">
        <f>'SDR Cost Estimate (FY08)'!AK92-'B2C Cost Est (FY08)'!AK92</f>
        <v>0.28888888888888886</v>
      </c>
      <c r="AL92" s="14">
        <f>'SDR Cost Estimate (FY08)'!AL92-'B2C Cost Est (FY08)'!AL92</f>
        <v>0</v>
      </c>
      <c r="AM92" s="14">
        <f>'SDR Cost Estimate (FY08)'!AM92-'B2C Cost Est (FY08)'!AM92</f>
        <v>29.786088888888887</v>
      </c>
      <c r="AN92" s="14">
        <f>'SDR Cost Estimate (FY08)'!AN92-'B2C Cost Est (FY08)'!AN92</f>
        <v>46.35</v>
      </c>
      <c r="AO92" s="14">
        <f>'SDR Cost Estimate (FY08)'!AO92-'B2C Cost Est (FY08)'!AO92</f>
        <v>0</v>
      </c>
      <c r="AP92" s="14">
        <f>'SDR Cost Estimate (FY08)'!AP92-'B2C Cost Est (FY08)'!AP92</f>
        <v>11.420413787139786</v>
      </c>
      <c r="AQ92" s="14">
        <f>SUM(AM92:AP92)</f>
        <v>87.55650267602869</v>
      </c>
      <c r="AR92" s="16"/>
      <c r="AS92" s="17"/>
      <c r="AU92" s="14">
        <f>'SDR Cost Estimate (FY08)'!AU92-'B2C Cost Est (FY08)'!AU92</f>
        <v>200</v>
      </c>
      <c r="AV92" s="15">
        <f>'SDR Cost Estimate (FY08)'!AV92-'B2C Cost Est (FY08)'!AV92</f>
        <v>0.1111111111111111</v>
      </c>
      <c r="AW92" s="14">
        <f>'SDR Cost Estimate (FY08)'!AW92-'B2C Cost Est (FY08)'!AW92</f>
        <v>0</v>
      </c>
      <c r="AX92" s="14">
        <f>'SDR Cost Estimate (FY08)'!AX92-'B2C Cost Est (FY08)'!AX92</f>
        <v>18.64848888888889</v>
      </c>
      <c r="AY92" s="14">
        <f>'SDR Cost Estimate (FY08)'!AY92-'B2C Cost Est (FY08)'!AY92</f>
        <v>0</v>
      </c>
      <c r="AZ92" s="14">
        <f>'SDR Cost Estimate (FY08)'!AZ92-'B2C Cost Est (FY08)'!AZ92</f>
        <v>0</v>
      </c>
      <c r="BA92" s="14">
        <f>'SDR Cost Estimate (FY08)'!BA92-'B2C Cost Est (FY08)'!BA92</f>
        <v>1.8648489166773028</v>
      </c>
      <c r="BB92" s="14">
        <f>SUM(AX92:BA92)</f>
        <v>20.51333780556619</v>
      </c>
      <c r="BC92" s="16"/>
    </row>
    <row r="93" spans="1:55" ht="12.75">
      <c r="A93" s="13">
        <v>7.5</v>
      </c>
      <c r="B93" s="19" t="s">
        <v>984</v>
      </c>
      <c r="C93" s="14">
        <f>'SDR Cost Estimate (FY08)'!C93-'B2C Cost Est (FY08)'!C93</f>
        <v>0</v>
      </c>
      <c r="D93" s="15">
        <f>'SDR Cost Estimate (FY08)'!D93-'B2C Cost Est (FY08)'!D93</f>
        <v>0</v>
      </c>
      <c r="E93" s="14">
        <f>'SDR Cost Estimate (FY08)'!E93-'B2C Cost Est (FY08)'!E93</f>
        <v>0</v>
      </c>
      <c r="F93" s="14">
        <f>'SDR Cost Estimate (FY08)'!F93-'B2C Cost Est (FY08)'!F93</f>
        <v>0</v>
      </c>
      <c r="G93" s="14">
        <f>'SDR Cost Estimate (FY08)'!G93-'B2C Cost Est (FY08)'!G93</f>
        <v>0</v>
      </c>
      <c r="H93" s="14">
        <f>'SDR Cost Estimate (FY08)'!H93-'B2C Cost Est (FY08)'!H93</f>
        <v>0</v>
      </c>
      <c r="I93" s="14">
        <f>'SDR Cost Estimate (FY08)'!I93-'B2C Cost Est (FY08)'!I93</f>
        <v>0</v>
      </c>
      <c r="J93" s="14">
        <f>SUM(F93:I93)</f>
        <v>0</v>
      </c>
      <c r="K93" s="16"/>
      <c r="L93" s="17"/>
      <c r="N93" s="14">
        <f>'SDR Cost Estimate (FY08)'!N93-'B2C Cost Est (FY08)'!N93</f>
        <v>0</v>
      </c>
      <c r="O93" s="15">
        <f>'SDR Cost Estimate (FY08)'!O93-'B2C Cost Est (FY08)'!O93</f>
        <v>0</v>
      </c>
      <c r="P93" s="14">
        <f>'SDR Cost Estimate (FY08)'!P93-'B2C Cost Est (FY08)'!P93</f>
        <v>0</v>
      </c>
      <c r="Q93" s="14">
        <f>'SDR Cost Estimate (FY08)'!Q93-'B2C Cost Est (FY08)'!Q93</f>
        <v>0</v>
      </c>
      <c r="R93" s="14">
        <f>'SDR Cost Estimate (FY08)'!R93-'B2C Cost Est (FY08)'!R93</f>
        <v>0</v>
      </c>
      <c r="S93" s="14">
        <f>'SDR Cost Estimate (FY08)'!S93-'B2C Cost Est (FY08)'!S93</f>
        <v>0</v>
      </c>
      <c r="T93" s="14">
        <f>'SDR Cost Estimate (FY08)'!T93-'B2C Cost Est (FY08)'!T93</f>
        <v>0</v>
      </c>
      <c r="U93" s="14">
        <f>SUM(Q93:T93)</f>
        <v>0</v>
      </c>
      <c r="V93" s="16"/>
      <c r="W93" s="17"/>
      <c r="Y93" s="14">
        <f>'SDR Cost Estimate (FY08)'!Y93-'B2C Cost Est (FY08)'!Y93</f>
        <v>0</v>
      </c>
      <c r="Z93" s="15">
        <f>'SDR Cost Estimate (FY08)'!Z93-'B2C Cost Est (FY08)'!Z93</f>
        <v>0</v>
      </c>
      <c r="AA93" s="14">
        <f>'SDR Cost Estimate (FY08)'!AA93-'B2C Cost Est (FY08)'!AA93</f>
        <v>0</v>
      </c>
      <c r="AB93" s="14">
        <f>'SDR Cost Estimate (FY08)'!AB93-'B2C Cost Est (FY08)'!AB93</f>
        <v>0</v>
      </c>
      <c r="AC93" s="14">
        <f>'SDR Cost Estimate (FY08)'!AC93-'B2C Cost Est (FY08)'!AC93</f>
        <v>0</v>
      </c>
      <c r="AD93" s="14">
        <f>'SDR Cost Estimate (FY08)'!AD93-'B2C Cost Est (FY08)'!AD93</f>
        <v>0</v>
      </c>
      <c r="AE93" s="14">
        <f>'SDR Cost Estimate (FY08)'!AE93-'B2C Cost Est (FY08)'!AE93</f>
        <v>0</v>
      </c>
      <c r="AF93" s="14">
        <f>SUM(AB93:AE93)</f>
        <v>0</v>
      </c>
      <c r="AG93" s="16"/>
      <c r="AH93" s="17"/>
      <c r="AJ93" s="14">
        <f>'SDR Cost Estimate (FY08)'!AJ93-'B2C Cost Est (FY08)'!AJ93</f>
        <v>0</v>
      </c>
      <c r="AK93" s="15">
        <f>'SDR Cost Estimate (FY08)'!AK93-'B2C Cost Est (FY08)'!AK93</f>
        <v>0</v>
      </c>
      <c r="AL93" s="14">
        <f>'SDR Cost Estimate (FY08)'!AL93-'B2C Cost Est (FY08)'!AL93</f>
        <v>0</v>
      </c>
      <c r="AM93" s="14">
        <f>'SDR Cost Estimate (FY08)'!AM93-'B2C Cost Est (FY08)'!AM93</f>
        <v>0</v>
      </c>
      <c r="AN93" s="14">
        <f>'SDR Cost Estimate (FY08)'!AN93-'B2C Cost Est (FY08)'!AN93</f>
        <v>0</v>
      </c>
      <c r="AO93" s="14">
        <f>'SDR Cost Estimate (FY08)'!AO93-'B2C Cost Est (FY08)'!AO93</f>
        <v>0</v>
      </c>
      <c r="AP93" s="14">
        <f>'SDR Cost Estimate (FY08)'!AP93-'B2C Cost Est (FY08)'!AP93</f>
        <v>0</v>
      </c>
      <c r="AQ93" s="14">
        <f>SUM(AM93:AP93)</f>
        <v>0</v>
      </c>
      <c r="AR93" s="16"/>
      <c r="AS93" s="17"/>
      <c r="AU93" s="14">
        <f>'SDR Cost Estimate (FY08)'!AU93-'B2C Cost Est (FY08)'!AU93</f>
        <v>0</v>
      </c>
      <c r="AV93" s="15">
        <f>'SDR Cost Estimate (FY08)'!AV93-'B2C Cost Est (FY08)'!AV93</f>
        <v>0</v>
      </c>
      <c r="AW93" s="14">
        <f>'SDR Cost Estimate (FY08)'!AW93-'B2C Cost Est (FY08)'!AW93</f>
        <v>0</v>
      </c>
      <c r="AX93" s="14">
        <f>'SDR Cost Estimate (FY08)'!AX93-'B2C Cost Est (FY08)'!AX93</f>
        <v>0</v>
      </c>
      <c r="AY93" s="14">
        <f>'SDR Cost Estimate (FY08)'!AY93-'B2C Cost Est (FY08)'!AY93</f>
        <v>0</v>
      </c>
      <c r="AZ93" s="14">
        <f>'SDR Cost Estimate (FY08)'!AZ93-'B2C Cost Est (FY08)'!AZ93</f>
        <v>0</v>
      </c>
      <c r="BA93" s="14">
        <f>'SDR Cost Estimate (FY08)'!BA93-'B2C Cost Est (FY08)'!BA93</f>
        <v>0</v>
      </c>
      <c r="BB93" s="14">
        <f>SUM(AX93:BA93)</f>
        <v>0</v>
      </c>
      <c r="BC93" s="16"/>
    </row>
    <row r="94" spans="1:56" ht="12.75">
      <c r="A94" s="8">
        <v>8</v>
      </c>
      <c r="B94" s="9" t="s">
        <v>985</v>
      </c>
      <c r="C94" s="25"/>
      <c r="D94" s="25"/>
      <c r="E94" s="25"/>
      <c r="F94" s="25"/>
      <c r="G94" s="25"/>
      <c r="H94" s="25"/>
      <c r="I94" s="25"/>
      <c r="J94" s="25"/>
      <c r="K94" s="11">
        <f>L94/L$108</f>
        <v>0.044812320134166084</v>
      </c>
      <c r="L94" s="12">
        <f>SUM(J95:J102)</f>
        <v>95.61137581223382</v>
      </c>
      <c r="N94" s="25"/>
      <c r="O94" s="25"/>
      <c r="P94" s="25"/>
      <c r="Q94" s="25"/>
      <c r="R94" s="25"/>
      <c r="S94" s="25"/>
      <c r="T94" s="25"/>
      <c r="U94" s="25"/>
      <c r="V94" s="25"/>
      <c r="W94" s="12">
        <f>SUM(U95:U102)</f>
        <v>0</v>
      </c>
      <c r="Y94" s="25"/>
      <c r="Z94" s="25"/>
      <c r="AA94" s="25"/>
      <c r="AB94" s="25"/>
      <c r="AC94" s="25"/>
      <c r="AD94" s="25"/>
      <c r="AE94" s="25"/>
      <c r="AF94" s="25"/>
      <c r="AG94" s="25"/>
      <c r="AH94" s="12">
        <f>SUM(AF95:AF102)</f>
        <v>0</v>
      </c>
      <c r="AJ94" s="25"/>
      <c r="AK94" s="25"/>
      <c r="AL94" s="25"/>
      <c r="AM94" s="25"/>
      <c r="AN94" s="25"/>
      <c r="AO94" s="25"/>
      <c r="AP94" s="25"/>
      <c r="AQ94" s="25"/>
      <c r="AR94" s="25"/>
      <c r="AS94" s="12">
        <f>SUM(AQ95:AQ102)</f>
        <v>0</v>
      </c>
      <c r="AU94" s="25"/>
      <c r="AV94" s="25"/>
      <c r="AW94" s="25"/>
      <c r="AX94" s="25"/>
      <c r="AY94" s="25"/>
      <c r="AZ94" s="25"/>
      <c r="BA94" s="25"/>
      <c r="BB94" s="25"/>
      <c r="BC94" s="25"/>
      <c r="BD94" s="12">
        <f>SUM(BB95:BB102)</f>
        <v>95.61137581223382</v>
      </c>
    </row>
    <row r="95" spans="1:55" ht="12.75">
      <c r="A95" s="13">
        <v>8.1</v>
      </c>
      <c r="B95" s="19" t="s">
        <v>986</v>
      </c>
      <c r="C95" s="14">
        <f>'SDR Cost Estimate (FY08)'!C95-'B2C Cost Est (FY08)'!C95</f>
        <v>0</v>
      </c>
      <c r="D95" s="15">
        <f>'SDR Cost Estimate (FY08)'!D95-'B2C Cost Est (FY08)'!D95</f>
        <v>0</v>
      </c>
      <c r="E95" s="14">
        <f>'SDR Cost Estimate (FY08)'!E95-'B2C Cost Est (FY08)'!E95</f>
        <v>0</v>
      </c>
      <c r="F95" s="14">
        <f>'SDR Cost Estimate (FY08)'!F95-'B2C Cost Est (FY08)'!F95</f>
        <v>0</v>
      </c>
      <c r="G95" s="14">
        <f>'SDR Cost Estimate (FY08)'!G95-'B2C Cost Est (FY08)'!G95</f>
        <v>0</v>
      </c>
      <c r="H95" s="14">
        <f>'SDR Cost Estimate (FY08)'!H95-'B2C Cost Est (FY08)'!H95</f>
        <v>0</v>
      </c>
      <c r="I95" s="14">
        <f>'SDR Cost Estimate (FY08)'!I95-'B2C Cost Est (FY08)'!I95</f>
        <v>0</v>
      </c>
      <c r="J95" s="14">
        <f>SUM(F95:I95)</f>
        <v>0</v>
      </c>
      <c r="K95" s="16"/>
      <c r="L95" s="17"/>
      <c r="N95" s="14">
        <f>'SDR Cost Estimate (FY08)'!N95-'B2C Cost Est (FY08)'!N95</f>
        <v>0</v>
      </c>
      <c r="O95" s="15">
        <f>'SDR Cost Estimate (FY08)'!O95-'B2C Cost Est (FY08)'!O95</f>
        <v>0</v>
      </c>
      <c r="P95" s="14">
        <f>'SDR Cost Estimate (FY08)'!P95-'B2C Cost Est (FY08)'!P95</f>
        <v>0</v>
      </c>
      <c r="Q95" s="14">
        <f>'SDR Cost Estimate (FY08)'!Q95-'B2C Cost Est (FY08)'!Q95</f>
        <v>0</v>
      </c>
      <c r="R95" s="14">
        <f>'SDR Cost Estimate (FY08)'!R95-'B2C Cost Est (FY08)'!R95</f>
        <v>0</v>
      </c>
      <c r="S95" s="14">
        <f>'SDR Cost Estimate (FY08)'!S95-'B2C Cost Est (FY08)'!S95</f>
        <v>0</v>
      </c>
      <c r="T95" s="14">
        <f>'SDR Cost Estimate (FY08)'!T95-'B2C Cost Est (FY08)'!T95</f>
        <v>0</v>
      </c>
      <c r="U95" s="14">
        <f>SUM(Q95:T95)</f>
        <v>0</v>
      </c>
      <c r="V95" s="16"/>
      <c r="W95" s="17"/>
      <c r="Y95" s="14">
        <f>'SDR Cost Estimate (FY08)'!Y95-'B2C Cost Est (FY08)'!Y95</f>
        <v>0</v>
      </c>
      <c r="Z95" s="15">
        <f>'SDR Cost Estimate (FY08)'!Z95-'B2C Cost Est (FY08)'!Z95</f>
        <v>0</v>
      </c>
      <c r="AA95" s="14">
        <f>'SDR Cost Estimate (FY08)'!AA95-'B2C Cost Est (FY08)'!AA95</f>
        <v>0</v>
      </c>
      <c r="AB95" s="14">
        <f>'SDR Cost Estimate (FY08)'!AB95-'B2C Cost Est (FY08)'!AB95</f>
        <v>0</v>
      </c>
      <c r="AC95" s="14">
        <f>'SDR Cost Estimate (FY08)'!AC95-'B2C Cost Est (FY08)'!AC95</f>
        <v>0</v>
      </c>
      <c r="AD95" s="14">
        <f>'SDR Cost Estimate (FY08)'!AD95-'B2C Cost Est (FY08)'!AD95</f>
        <v>0</v>
      </c>
      <c r="AE95" s="14">
        <f>'SDR Cost Estimate (FY08)'!AE95-'B2C Cost Est (FY08)'!AE95</f>
        <v>0</v>
      </c>
      <c r="AF95" s="14">
        <f>SUM(AB95:AE95)</f>
        <v>0</v>
      </c>
      <c r="AG95" s="16"/>
      <c r="AH95" s="17"/>
      <c r="AJ95" s="14">
        <f>'SDR Cost Estimate (FY08)'!AJ95-'B2C Cost Est (FY08)'!AJ95</f>
        <v>0</v>
      </c>
      <c r="AK95" s="15">
        <f>'SDR Cost Estimate (FY08)'!AK95-'B2C Cost Est (FY08)'!AK95</f>
        <v>0</v>
      </c>
      <c r="AL95" s="14">
        <f>'SDR Cost Estimate (FY08)'!AL95-'B2C Cost Est (FY08)'!AL95</f>
        <v>0</v>
      </c>
      <c r="AM95" s="14">
        <f>'SDR Cost Estimate (FY08)'!AM95-'B2C Cost Est (FY08)'!AM95</f>
        <v>0</v>
      </c>
      <c r="AN95" s="14">
        <f>'SDR Cost Estimate (FY08)'!AN95-'B2C Cost Est (FY08)'!AN95</f>
        <v>0</v>
      </c>
      <c r="AO95" s="14">
        <f>'SDR Cost Estimate (FY08)'!AO95-'B2C Cost Est (FY08)'!AO95</f>
        <v>0</v>
      </c>
      <c r="AP95" s="14">
        <f>'SDR Cost Estimate (FY08)'!AP95-'B2C Cost Est (FY08)'!AP95</f>
        <v>0</v>
      </c>
      <c r="AQ95" s="14">
        <f>SUM(AM95:AP95)</f>
        <v>0</v>
      </c>
      <c r="AR95" s="16"/>
      <c r="AS95" s="17"/>
      <c r="AU95" s="14">
        <f>'SDR Cost Estimate (FY08)'!AU95-'B2C Cost Est (FY08)'!AU95</f>
        <v>0</v>
      </c>
      <c r="AV95" s="15">
        <f>'SDR Cost Estimate (FY08)'!AV95-'B2C Cost Est (FY08)'!AV95</f>
        <v>0</v>
      </c>
      <c r="AW95" s="14">
        <f>'SDR Cost Estimate (FY08)'!AW95-'B2C Cost Est (FY08)'!AW95</f>
        <v>0</v>
      </c>
      <c r="AX95" s="14">
        <f>'SDR Cost Estimate (FY08)'!AX95-'B2C Cost Est (FY08)'!AX95</f>
        <v>0</v>
      </c>
      <c r="AY95" s="14">
        <f>'SDR Cost Estimate (FY08)'!AY95-'B2C Cost Est (FY08)'!AY95</f>
        <v>0</v>
      </c>
      <c r="AZ95" s="14">
        <f>'SDR Cost Estimate (FY08)'!AZ95-'B2C Cost Est (FY08)'!AZ95</f>
        <v>0</v>
      </c>
      <c r="BA95" s="14">
        <f>'SDR Cost Estimate (FY08)'!BA95-'B2C Cost Est (FY08)'!BA95</f>
        <v>0</v>
      </c>
      <c r="BB95" s="14">
        <f>SUM(AX95:BA95)</f>
        <v>0</v>
      </c>
      <c r="BC95" s="16"/>
    </row>
    <row r="96" spans="1:55" ht="12.75">
      <c r="A96" s="13">
        <v>8.2</v>
      </c>
      <c r="B96" s="13" t="s">
        <v>987</v>
      </c>
      <c r="C96" s="14">
        <f>'SDR Cost Estimate (FY08)'!C96-'B2C Cost Est (FY08)'!C96</f>
        <v>0</v>
      </c>
      <c r="D96" s="15">
        <f>'SDR Cost Estimate (FY08)'!D96-'B2C Cost Est (FY08)'!D96</f>
        <v>0</v>
      </c>
      <c r="E96" s="14">
        <f>'SDR Cost Estimate (FY08)'!E96-'B2C Cost Est (FY08)'!E96</f>
        <v>0</v>
      </c>
      <c r="F96" s="14">
        <f>'SDR Cost Estimate (FY08)'!F96-'B2C Cost Est (FY08)'!F96</f>
        <v>0</v>
      </c>
      <c r="G96" s="14">
        <f>'SDR Cost Estimate (FY08)'!G96-'B2C Cost Est (FY08)'!G96</f>
        <v>0</v>
      </c>
      <c r="H96" s="14">
        <f>'SDR Cost Estimate (FY08)'!H96-'B2C Cost Est (FY08)'!H96</f>
        <v>0</v>
      </c>
      <c r="I96" s="14">
        <f>'SDR Cost Estimate (FY08)'!I96-'B2C Cost Est (FY08)'!I96</f>
        <v>0</v>
      </c>
      <c r="J96" s="14">
        <f aca="true" t="shared" si="30" ref="J96:J102">SUM(F96:I96)</f>
        <v>0</v>
      </c>
      <c r="K96" s="16"/>
      <c r="L96" s="17"/>
      <c r="N96" s="14">
        <f>'SDR Cost Estimate (FY08)'!N96-'B2C Cost Est (FY08)'!N96</f>
        <v>0</v>
      </c>
      <c r="O96" s="15">
        <f>'SDR Cost Estimate (FY08)'!O96-'B2C Cost Est (FY08)'!O96</f>
        <v>0</v>
      </c>
      <c r="P96" s="14">
        <f>'SDR Cost Estimate (FY08)'!P96-'B2C Cost Est (FY08)'!P96</f>
        <v>0</v>
      </c>
      <c r="Q96" s="14">
        <f>'SDR Cost Estimate (FY08)'!Q96-'B2C Cost Est (FY08)'!Q96</f>
        <v>0</v>
      </c>
      <c r="R96" s="14">
        <f>'SDR Cost Estimate (FY08)'!R96-'B2C Cost Est (FY08)'!R96</f>
        <v>0</v>
      </c>
      <c r="S96" s="14">
        <f>'SDR Cost Estimate (FY08)'!S96-'B2C Cost Est (FY08)'!S96</f>
        <v>0</v>
      </c>
      <c r="T96" s="14">
        <f>'SDR Cost Estimate (FY08)'!T96-'B2C Cost Est (FY08)'!T96</f>
        <v>0</v>
      </c>
      <c r="U96" s="14">
        <f aca="true" t="shared" si="31" ref="U96:U102">SUM(Q96:T96)</f>
        <v>0</v>
      </c>
      <c r="V96" s="16"/>
      <c r="W96" s="17"/>
      <c r="Y96" s="14">
        <f>'SDR Cost Estimate (FY08)'!Y96-'B2C Cost Est (FY08)'!Y96</f>
        <v>0</v>
      </c>
      <c r="Z96" s="15">
        <f>'SDR Cost Estimate (FY08)'!Z96-'B2C Cost Est (FY08)'!Z96</f>
        <v>0</v>
      </c>
      <c r="AA96" s="14">
        <f>'SDR Cost Estimate (FY08)'!AA96-'B2C Cost Est (FY08)'!AA96</f>
        <v>0</v>
      </c>
      <c r="AB96" s="14">
        <f>'SDR Cost Estimate (FY08)'!AB96-'B2C Cost Est (FY08)'!AB96</f>
        <v>0</v>
      </c>
      <c r="AC96" s="14">
        <f>'SDR Cost Estimate (FY08)'!AC96-'B2C Cost Est (FY08)'!AC96</f>
        <v>0</v>
      </c>
      <c r="AD96" s="14">
        <f>'SDR Cost Estimate (FY08)'!AD96-'B2C Cost Est (FY08)'!AD96</f>
        <v>0</v>
      </c>
      <c r="AE96" s="14">
        <f>'SDR Cost Estimate (FY08)'!AE96-'B2C Cost Est (FY08)'!AE96</f>
        <v>0</v>
      </c>
      <c r="AF96" s="14">
        <f aca="true" t="shared" si="32" ref="AF96:AF102">SUM(AB96:AE96)</f>
        <v>0</v>
      </c>
      <c r="AG96" s="16"/>
      <c r="AH96" s="17"/>
      <c r="AJ96" s="14">
        <f>'SDR Cost Estimate (FY08)'!AJ96-'B2C Cost Est (FY08)'!AJ96</f>
        <v>0</v>
      </c>
      <c r="AK96" s="15">
        <f>'SDR Cost Estimate (FY08)'!AK96-'B2C Cost Est (FY08)'!AK96</f>
        <v>0</v>
      </c>
      <c r="AL96" s="14">
        <f>'SDR Cost Estimate (FY08)'!AL96-'B2C Cost Est (FY08)'!AL96</f>
        <v>0</v>
      </c>
      <c r="AM96" s="14">
        <f>'SDR Cost Estimate (FY08)'!AM96-'B2C Cost Est (FY08)'!AM96</f>
        <v>0</v>
      </c>
      <c r="AN96" s="14">
        <f>'SDR Cost Estimate (FY08)'!AN96-'B2C Cost Est (FY08)'!AN96</f>
        <v>0</v>
      </c>
      <c r="AO96" s="14">
        <f>'SDR Cost Estimate (FY08)'!AO96-'B2C Cost Est (FY08)'!AO96</f>
        <v>0</v>
      </c>
      <c r="AP96" s="14">
        <f>'SDR Cost Estimate (FY08)'!AP96-'B2C Cost Est (FY08)'!AP96</f>
        <v>0</v>
      </c>
      <c r="AQ96" s="14">
        <f aca="true" t="shared" si="33" ref="AQ96:AQ102">SUM(AM96:AP96)</f>
        <v>0</v>
      </c>
      <c r="AR96" s="16"/>
      <c r="AS96" s="17"/>
      <c r="AU96" s="14">
        <f>'SDR Cost Estimate (FY08)'!AU96-'B2C Cost Est (FY08)'!AU96</f>
        <v>0</v>
      </c>
      <c r="AV96" s="15">
        <f>'SDR Cost Estimate (FY08)'!AV96-'B2C Cost Est (FY08)'!AV96</f>
        <v>0</v>
      </c>
      <c r="AW96" s="14">
        <f>'SDR Cost Estimate (FY08)'!AW96-'B2C Cost Est (FY08)'!AW96</f>
        <v>0</v>
      </c>
      <c r="AX96" s="14">
        <f>'SDR Cost Estimate (FY08)'!AX96-'B2C Cost Est (FY08)'!AX96</f>
        <v>0</v>
      </c>
      <c r="AY96" s="14">
        <f>'SDR Cost Estimate (FY08)'!AY96-'B2C Cost Est (FY08)'!AY96</f>
        <v>0</v>
      </c>
      <c r="AZ96" s="14">
        <f>'SDR Cost Estimate (FY08)'!AZ96-'B2C Cost Est (FY08)'!AZ96</f>
        <v>0</v>
      </c>
      <c r="BA96" s="14">
        <f>'SDR Cost Estimate (FY08)'!BA96-'B2C Cost Est (FY08)'!BA96</f>
        <v>0</v>
      </c>
      <c r="BB96" s="14">
        <f aca="true" t="shared" si="34" ref="BB96:BB102">SUM(AX96:BA96)</f>
        <v>0</v>
      </c>
      <c r="BC96" s="16"/>
    </row>
    <row r="97" spans="1:55" ht="12.75">
      <c r="A97" s="13">
        <v>8.3</v>
      </c>
      <c r="B97" s="13" t="s">
        <v>988</v>
      </c>
      <c r="C97" s="14">
        <f>'SDR Cost Estimate (FY08)'!C97-'B2C Cost Est (FY08)'!C97</f>
        <v>0</v>
      </c>
      <c r="D97" s="15">
        <f>'SDR Cost Estimate (FY08)'!D97-'B2C Cost Est (FY08)'!D97</f>
        <v>0</v>
      </c>
      <c r="E97" s="14">
        <f>'SDR Cost Estimate (FY08)'!E97-'B2C Cost Est (FY08)'!E97</f>
        <v>0</v>
      </c>
      <c r="F97" s="14">
        <f>'SDR Cost Estimate (FY08)'!F97-'B2C Cost Est (FY08)'!F97</f>
        <v>0</v>
      </c>
      <c r="G97" s="14">
        <f>'SDR Cost Estimate (FY08)'!G97-'B2C Cost Est (FY08)'!G97</f>
        <v>0</v>
      </c>
      <c r="H97" s="14">
        <f>'SDR Cost Estimate (FY08)'!H97-'B2C Cost Est (FY08)'!H97</f>
        <v>0</v>
      </c>
      <c r="I97" s="14">
        <f>'SDR Cost Estimate (FY08)'!I97-'B2C Cost Est (FY08)'!I97</f>
        <v>0</v>
      </c>
      <c r="J97" s="14">
        <f t="shared" si="30"/>
        <v>0</v>
      </c>
      <c r="K97" s="16"/>
      <c r="L97" s="17"/>
      <c r="N97" s="14">
        <f>'SDR Cost Estimate (FY08)'!N97-'B2C Cost Est (FY08)'!N97</f>
        <v>0</v>
      </c>
      <c r="O97" s="15">
        <f>'SDR Cost Estimate (FY08)'!O97-'B2C Cost Est (FY08)'!O97</f>
        <v>0</v>
      </c>
      <c r="P97" s="14">
        <f>'SDR Cost Estimate (FY08)'!P97-'B2C Cost Est (FY08)'!P97</f>
        <v>0</v>
      </c>
      <c r="Q97" s="14">
        <f>'SDR Cost Estimate (FY08)'!Q97-'B2C Cost Est (FY08)'!Q97</f>
        <v>0</v>
      </c>
      <c r="R97" s="14">
        <f>'SDR Cost Estimate (FY08)'!R97-'B2C Cost Est (FY08)'!R97</f>
        <v>0</v>
      </c>
      <c r="S97" s="14">
        <f>'SDR Cost Estimate (FY08)'!S97-'B2C Cost Est (FY08)'!S97</f>
        <v>0</v>
      </c>
      <c r="T97" s="14">
        <f>'SDR Cost Estimate (FY08)'!T97-'B2C Cost Est (FY08)'!T97</f>
        <v>0</v>
      </c>
      <c r="U97" s="14">
        <f t="shared" si="31"/>
        <v>0</v>
      </c>
      <c r="V97" s="16"/>
      <c r="W97" s="17"/>
      <c r="Y97" s="14">
        <f>'SDR Cost Estimate (FY08)'!Y97-'B2C Cost Est (FY08)'!Y97</f>
        <v>0</v>
      </c>
      <c r="Z97" s="15">
        <f>'SDR Cost Estimate (FY08)'!Z97-'B2C Cost Est (FY08)'!Z97</f>
        <v>0</v>
      </c>
      <c r="AA97" s="14">
        <f>'SDR Cost Estimate (FY08)'!AA97-'B2C Cost Est (FY08)'!AA97</f>
        <v>0</v>
      </c>
      <c r="AB97" s="14">
        <f>'SDR Cost Estimate (FY08)'!AB97-'B2C Cost Est (FY08)'!AB97</f>
        <v>0</v>
      </c>
      <c r="AC97" s="14">
        <f>'SDR Cost Estimate (FY08)'!AC97-'B2C Cost Est (FY08)'!AC97</f>
        <v>0</v>
      </c>
      <c r="AD97" s="14">
        <f>'SDR Cost Estimate (FY08)'!AD97-'B2C Cost Est (FY08)'!AD97</f>
        <v>0</v>
      </c>
      <c r="AE97" s="14">
        <f>'SDR Cost Estimate (FY08)'!AE97-'B2C Cost Est (FY08)'!AE97</f>
        <v>0</v>
      </c>
      <c r="AF97" s="14">
        <f t="shared" si="32"/>
        <v>0</v>
      </c>
      <c r="AG97" s="16"/>
      <c r="AH97" s="17"/>
      <c r="AJ97" s="14">
        <f>'SDR Cost Estimate (FY08)'!AJ97-'B2C Cost Est (FY08)'!AJ97</f>
        <v>0</v>
      </c>
      <c r="AK97" s="15">
        <f>'SDR Cost Estimate (FY08)'!AK97-'B2C Cost Est (FY08)'!AK97</f>
        <v>0</v>
      </c>
      <c r="AL97" s="14">
        <f>'SDR Cost Estimate (FY08)'!AL97-'B2C Cost Est (FY08)'!AL97</f>
        <v>0</v>
      </c>
      <c r="AM97" s="14">
        <f>'SDR Cost Estimate (FY08)'!AM97-'B2C Cost Est (FY08)'!AM97</f>
        <v>0</v>
      </c>
      <c r="AN97" s="14">
        <f>'SDR Cost Estimate (FY08)'!AN97-'B2C Cost Est (FY08)'!AN97</f>
        <v>0</v>
      </c>
      <c r="AO97" s="14">
        <f>'SDR Cost Estimate (FY08)'!AO97-'B2C Cost Est (FY08)'!AO97</f>
        <v>0</v>
      </c>
      <c r="AP97" s="14">
        <f>'SDR Cost Estimate (FY08)'!AP97-'B2C Cost Est (FY08)'!AP97</f>
        <v>0</v>
      </c>
      <c r="AQ97" s="14">
        <f t="shared" si="33"/>
        <v>0</v>
      </c>
      <c r="AR97" s="16"/>
      <c r="AS97" s="17"/>
      <c r="AU97" s="14">
        <f>'SDR Cost Estimate (FY08)'!AU97-'B2C Cost Est (FY08)'!AU97</f>
        <v>0</v>
      </c>
      <c r="AV97" s="15">
        <f>'SDR Cost Estimate (FY08)'!AV97-'B2C Cost Est (FY08)'!AV97</f>
        <v>0</v>
      </c>
      <c r="AW97" s="14">
        <f>'SDR Cost Estimate (FY08)'!AW97-'B2C Cost Est (FY08)'!AW97</f>
        <v>0</v>
      </c>
      <c r="AX97" s="14">
        <f>'SDR Cost Estimate (FY08)'!AX97-'B2C Cost Est (FY08)'!AX97</f>
        <v>0</v>
      </c>
      <c r="AY97" s="14">
        <f>'SDR Cost Estimate (FY08)'!AY97-'B2C Cost Est (FY08)'!AY97</f>
        <v>0</v>
      </c>
      <c r="AZ97" s="14">
        <f>'SDR Cost Estimate (FY08)'!AZ97-'B2C Cost Est (FY08)'!AZ97</f>
        <v>0</v>
      </c>
      <c r="BA97" s="14">
        <f>'SDR Cost Estimate (FY08)'!BA97-'B2C Cost Est (FY08)'!BA97</f>
        <v>0</v>
      </c>
      <c r="BB97" s="14">
        <f t="shared" si="34"/>
        <v>0</v>
      </c>
      <c r="BC97" s="16"/>
    </row>
    <row r="98" spans="1:55" ht="12.75">
      <c r="A98" s="13">
        <v>8.4</v>
      </c>
      <c r="B98" s="13" t="s">
        <v>989</v>
      </c>
      <c r="C98" s="14">
        <f>'SDR Cost Estimate (FY08)'!C98-'B2C Cost Est (FY08)'!C98</f>
        <v>680</v>
      </c>
      <c r="D98" s="15">
        <f>'SDR Cost Estimate (FY08)'!D98-'B2C Cost Est (FY08)'!D98</f>
        <v>0.37777777777777777</v>
      </c>
      <c r="E98" s="14">
        <f>'SDR Cost Estimate (FY08)'!E98-'B2C Cost Est (FY08)'!E98</f>
        <v>0</v>
      </c>
      <c r="F98" s="14">
        <f>'SDR Cost Estimate (FY08)'!F98-'B2C Cost Est (FY08)'!F98</f>
        <v>44.069277083333134</v>
      </c>
      <c r="G98" s="14">
        <f>'SDR Cost Estimate (FY08)'!G98-'B2C Cost Est (FY08)'!G98</f>
        <v>0</v>
      </c>
      <c r="H98" s="14">
        <f>'SDR Cost Estimate (FY08)'!H98-'B2C Cost Est (FY08)'!H98</f>
        <v>0</v>
      </c>
      <c r="I98" s="14">
        <f>'SDR Cost Estimate (FY08)'!I98-'B2C Cost Est (FY08)'!I98</f>
        <v>0</v>
      </c>
      <c r="J98" s="14">
        <f t="shared" si="30"/>
        <v>44.069277083333134</v>
      </c>
      <c r="K98" s="16"/>
      <c r="L98" s="17"/>
      <c r="N98" s="14">
        <f>'SDR Cost Estimate (FY08)'!N98-'B2C Cost Est (FY08)'!N98</f>
        <v>0</v>
      </c>
      <c r="O98" s="15">
        <f>'SDR Cost Estimate (FY08)'!O98-'B2C Cost Est (FY08)'!O98</f>
        <v>0</v>
      </c>
      <c r="P98" s="14">
        <f>'SDR Cost Estimate (FY08)'!P98-'B2C Cost Est (FY08)'!P98</f>
        <v>0</v>
      </c>
      <c r="Q98" s="14">
        <f>'SDR Cost Estimate (FY08)'!Q98-'B2C Cost Est (FY08)'!Q98</f>
        <v>0</v>
      </c>
      <c r="R98" s="14">
        <f>'SDR Cost Estimate (FY08)'!R98-'B2C Cost Est (FY08)'!R98</f>
        <v>0</v>
      </c>
      <c r="S98" s="14">
        <f>'SDR Cost Estimate (FY08)'!S98-'B2C Cost Est (FY08)'!S98</f>
        <v>0</v>
      </c>
      <c r="T98" s="14">
        <f>'SDR Cost Estimate (FY08)'!T98-'B2C Cost Est (FY08)'!T98</f>
        <v>0</v>
      </c>
      <c r="U98" s="14">
        <f t="shared" si="31"/>
        <v>0</v>
      </c>
      <c r="V98" s="16"/>
      <c r="W98" s="17"/>
      <c r="Y98" s="14">
        <f>'SDR Cost Estimate (FY08)'!Y98-'B2C Cost Est (FY08)'!Y98</f>
        <v>0</v>
      </c>
      <c r="Z98" s="15">
        <f>'SDR Cost Estimate (FY08)'!Z98-'B2C Cost Est (FY08)'!Z98</f>
        <v>0</v>
      </c>
      <c r="AA98" s="14">
        <f>'SDR Cost Estimate (FY08)'!AA98-'B2C Cost Est (FY08)'!AA98</f>
        <v>0</v>
      </c>
      <c r="AB98" s="14">
        <f>'SDR Cost Estimate (FY08)'!AB98-'B2C Cost Est (FY08)'!AB98</f>
        <v>0</v>
      </c>
      <c r="AC98" s="14">
        <f>'SDR Cost Estimate (FY08)'!AC98-'B2C Cost Est (FY08)'!AC98</f>
        <v>0</v>
      </c>
      <c r="AD98" s="14">
        <f>'SDR Cost Estimate (FY08)'!AD98-'B2C Cost Est (FY08)'!AD98</f>
        <v>0</v>
      </c>
      <c r="AE98" s="14">
        <f>'SDR Cost Estimate (FY08)'!AE98-'B2C Cost Est (FY08)'!AE98</f>
        <v>0</v>
      </c>
      <c r="AF98" s="14">
        <f t="shared" si="32"/>
        <v>0</v>
      </c>
      <c r="AG98" s="16"/>
      <c r="AH98" s="17"/>
      <c r="AJ98" s="14">
        <f>'SDR Cost Estimate (FY08)'!AJ98-'B2C Cost Est (FY08)'!AJ98</f>
        <v>0</v>
      </c>
      <c r="AK98" s="15">
        <f>'SDR Cost Estimate (FY08)'!AK98-'B2C Cost Est (FY08)'!AK98</f>
        <v>0</v>
      </c>
      <c r="AL98" s="14">
        <f>'SDR Cost Estimate (FY08)'!AL98-'B2C Cost Est (FY08)'!AL98</f>
        <v>0</v>
      </c>
      <c r="AM98" s="14">
        <f>'SDR Cost Estimate (FY08)'!AM98-'B2C Cost Est (FY08)'!AM98</f>
        <v>0</v>
      </c>
      <c r="AN98" s="14">
        <f>'SDR Cost Estimate (FY08)'!AN98-'B2C Cost Est (FY08)'!AN98</f>
        <v>0</v>
      </c>
      <c r="AO98" s="14">
        <f>'SDR Cost Estimate (FY08)'!AO98-'B2C Cost Est (FY08)'!AO98</f>
        <v>0</v>
      </c>
      <c r="AP98" s="14">
        <f>'SDR Cost Estimate (FY08)'!AP98-'B2C Cost Est (FY08)'!AP98</f>
        <v>0</v>
      </c>
      <c r="AQ98" s="14">
        <f t="shared" si="33"/>
        <v>0</v>
      </c>
      <c r="AR98" s="16"/>
      <c r="AS98" s="17"/>
      <c r="AU98" s="14">
        <f>'SDR Cost Estimate (FY08)'!AU98-'B2C Cost Est (FY08)'!AU98</f>
        <v>680</v>
      </c>
      <c r="AV98" s="15">
        <f>'SDR Cost Estimate (FY08)'!AV98-'B2C Cost Est (FY08)'!AV98</f>
        <v>0.37777777777777777</v>
      </c>
      <c r="AW98" s="14">
        <f>'SDR Cost Estimate (FY08)'!AW98-'B2C Cost Est (FY08)'!AW98</f>
        <v>0</v>
      </c>
      <c r="AX98" s="14">
        <f>'SDR Cost Estimate (FY08)'!AX98-'B2C Cost Est (FY08)'!AX98</f>
        <v>44.069277083333134</v>
      </c>
      <c r="AY98" s="14">
        <f>'SDR Cost Estimate (FY08)'!AY98-'B2C Cost Est (FY08)'!AY98</f>
        <v>0</v>
      </c>
      <c r="AZ98" s="14">
        <f>'SDR Cost Estimate (FY08)'!AZ98-'B2C Cost Est (FY08)'!AZ98</f>
        <v>0</v>
      </c>
      <c r="BA98" s="14">
        <f>'SDR Cost Estimate (FY08)'!BA98-'B2C Cost Est (FY08)'!BA98</f>
        <v>0</v>
      </c>
      <c r="BB98" s="14">
        <f t="shared" si="34"/>
        <v>44.069277083333134</v>
      </c>
      <c r="BC98" s="16"/>
    </row>
    <row r="99" spans="1:55" ht="12.75">
      <c r="A99" s="13">
        <v>8.5</v>
      </c>
      <c r="B99" s="19" t="s">
        <v>990</v>
      </c>
      <c r="C99" s="14">
        <f>'SDR Cost Estimate (FY08)'!C99-'B2C Cost Est (FY08)'!C99</f>
        <v>682</v>
      </c>
      <c r="D99" s="15">
        <f>'SDR Cost Estimate (FY08)'!D99-'B2C Cost Est (FY08)'!D99</f>
        <v>0.37888888888888883</v>
      </c>
      <c r="E99" s="14">
        <f>'SDR Cost Estimate (FY08)'!E99-'B2C Cost Est (FY08)'!E99</f>
        <v>0</v>
      </c>
      <c r="F99" s="14">
        <f>'SDR Cost Estimate (FY08)'!F99-'B2C Cost Est (FY08)'!F99</f>
        <v>40.267264444444606</v>
      </c>
      <c r="G99" s="14">
        <f>'SDR Cost Estimate (FY08)'!G99-'B2C Cost Est (FY08)'!G99</f>
        <v>0</v>
      </c>
      <c r="H99" s="14">
        <f>'SDR Cost Estimate (FY08)'!H99-'B2C Cost Est (FY08)'!H99</f>
        <v>0</v>
      </c>
      <c r="I99" s="14">
        <f>'SDR Cost Estimate (FY08)'!I99-'B2C Cost Est (FY08)'!I99</f>
        <v>11.274834284456077</v>
      </c>
      <c r="J99" s="14">
        <f t="shared" si="30"/>
        <v>51.54209872890068</v>
      </c>
      <c r="K99" s="16"/>
      <c r="L99" s="17"/>
      <c r="N99" s="14">
        <f>'SDR Cost Estimate (FY08)'!N99-'B2C Cost Est (FY08)'!N99</f>
        <v>0</v>
      </c>
      <c r="O99" s="15">
        <f>'SDR Cost Estimate (FY08)'!O99-'B2C Cost Est (FY08)'!O99</f>
        <v>0</v>
      </c>
      <c r="P99" s="14">
        <f>'SDR Cost Estimate (FY08)'!P99-'B2C Cost Est (FY08)'!P99</f>
        <v>0</v>
      </c>
      <c r="Q99" s="14">
        <f>'SDR Cost Estimate (FY08)'!Q99-'B2C Cost Est (FY08)'!Q99</f>
        <v>0</v>
      </c>
      <c r="R99" s="14">
        <f>'SDR Cost Estimate (FY08)'!R99-'B2C Cost Est (FY08)'!R99</f>
        <v>0</v>
      </c>
      <c r="S99" s="14">
        <f>'SDR Cost Estimate (FY08)'!S99-'B2C Cost Est (FY08)'!S99</f>
        <v>0</v>
      </c>
      <c r="T99" s="14">
        <f>'SDR Cost Estimate (FY08)'!T99-'B2C Cost Est (FY08)'!T99</f>
        <v>0</v>
      </c>
      <c r="U99" s="14">
        <f t="shared" si="31"/>
        <v>0</v>
      </c>
      <c r="V99" s="16"/>
      <c r="W99" s="17"/>
      <c r="Y99" s="14">
        <f>'SDR Cost Estimate (FY08)'!Y99-'B2C Cost Est (FY08)'!Y99</f>
        <v>0</v>
      </c>
      <c r="Z99" s="15">
        <f>'SDR Cost Estimate (FY08)'!Z99-'B2C Cost Est (FY08)'!Z99</f>
        <v>0</v>
      </c>
      <c r="AA99" s="14">
        <f>'SDR Cost Estimate (FY08)'!AA99-'B2C Cost Est (FY08)'!AA99</f>
        <v>0</v>
      </c>
      <c r="AB99" s="14">
        <f>'SDR Cost Estimate (FY08)'!AB99-'B2C Cost Est (FY08)'!AB99</f>
        <v>0</v>
      </c>
      <c r="AC99" s="14">
        <f>'SDR Cost Estimate (FY08)'!AC99-'B2C Cost Est (FY08)'!AC99</f>
        <v>0</v>
      </c>
      <c r="AD99" s="14">
        <f>'SDR Cost Estimate (FY08)'!AD99-'B2C Cost Est (FY08)'!AD99</f>
        <v>0</v>
      </c>
      <c r="AE99" s="14">
        <f>'SDR Cost Estimate (FY08)'!AE99-'B2C Cost Est (FY08)'!AE99</f>
        <v>0</v>
      </c>
      <c r="AF99" s="14">
        <f t="shared" si="32"/>
        <v>0</v>
      </c>
      <c r="AG99" s="16"/>
      <c r="AH99" s="17"/>
      <c r="AJ99" s="14">
        <f>'SDR Cost Estimate (FY08)'!AJ99-'B2C Cost Est (FY08)'!AJ99</f>
        <v>0</v>
      </c>
      <c r="AK99" s="15">
        <f>'SDR Cost Estimate (FY08)'!AK99-'B2C Cost Est (FY08)'!AK99</f>
        <v>0</v>
      </c>
      <c r="AL99" s="14">
        <f>'SDR Cost Estimate (FY08)'!AL99-'B2C Cost Est (FY08)'!AL99</f>
        <v>0</v>
      </c>
      <c r="AM99" s="14">
        <f>'SDR Cost Estimate (FY08)'!AM99-'B2C Cost Est (FY08)'!AM99</f>
        <v>0</v>
      </c>
      <c r="AN99" s="14">
        <f>'SDR Cost Estimate (FY08)'!AN99-'B2C Cost Est (FY08)'!AN99</f>
        <v>0</v>
      </c>
      <c r="AO99" s="14">
        <f>'SDR Cost Estimate (FY08)'!AO99-'B2C Cost Est (FY08)'!AO99</f>
        <v>0</v>
      </c>
      <c r="AP99" s="14">
        <f>'SDR Cost Estimate (FY08)'!AP99-'B2C Cost Est (FY08)'!AP99</f>
        <v>0</v>
      </c>
      <c r="AQ99" s="14">
        <f t="shared" si="33"/>
        <v>0</v>
      </c>
      <c r="AR99" s="16"/>
      <c r="AS99" s="17"/>
      <c r="AU99" s="14">
        <f>'SDR Cost Estimate (FY08)'!AU99-'B2C Cost Est (FY08)'!AU99</f>
        <v>682</v>
      </c>
      <c r="AV99" s="15">
        <f>'SDR Cost Estimate (FY08)'!AV99-'B2C Cost Est (FY08)'!AV99</f>
        <v>0.37888888888888883</v>
      </c>
      <c r="AW99" s="14">
        <f>'SDR Cost Estimate (FY08)'!AW99-'B2C Cost Est (FY08)'!AW99</f>
        <v>0</v>
      </c>
      <c r="AX99" s="14">
        <f>'SDR Cost Estimate (FY08)'!AX99-'B2C Cost Est (FY08)'!AX99</f>
        <v>40.267264444444606</v>
      </c>
      <c r="AY99" s="14">
        <f>'SDR Cost Estimate (FY08)'!AY99-'B2C Cost Est (FY08)'!AY99</f>
        <v>0</v>
      </c>
      <c r="AZ99" s="14">
        <f>'SDR Cost Estimate (FY08)'!AZ99-'B2C Cost Est (FY08)'!AZ99</f>
        <v>0</v>
      </c>
      <c r="BA99" s="14">
        <f>'SDR Cost Estimate (FY08)'!BA99-'B2C Cost Est (FY08)'!BA99</f>
        <v>11.274834284456077</v>
      </c>
      <c r="BB99" s="14">
        <f t="shared" si="34"/>
        <v>51.54209872890068</v>
      </c>
      <c r="BC99" s="16"/>
    </row>
    <row r="100" spans="1:55" ht="12.75">
      <c r="A100" s="13">
        <v>8.6</v>
      </c>
      <c r="B100" s="19" t="s">
        <v>991</v>
      </c>
      <c r="C100" s="14">
        <f>'SDR Cost Estimate (FY08)'!C100-'B2C Cost Est (FY08)'!C100</f>
        <v>0</v>
      </c>
      <c r="D100" s="15">
        <f>'SDR Cost Estimate (FY08)'!D100-'B2C Cost Est (FY08)'!D100</f>
        <v>0</v>
      </c>
      <c r="E100" s="14">
        <f>'SDR Cost Estimate (FY08)'!E100-'B2C Cost Est (FY08)'!E100</f>
        <v>0</v>
      </c>
      <c r="F100" s="14">
        <f>'SDR Cost Estimate (FY08)'!F100-'B2C Cost Est (FY08)'!F100</f>
        <v>0</v>
      </c>
      <c r="G100" s="14">
        <f>'SDR Cost Estimate (FY08)'!G100-'B2C Cost Est (FY08)'!G100</f>
        <v>0</v>
      </c>
      <c r="H100" s="14">
        <f>'SDR Cost Estimate (FY08)'!H100-'B2C Cost Est (FY08)'!H100</f>
        <v>0</v>
      </c>
      <c r="I100" s="14">
        <f>'SDR Cost Estimate (FY08)'!I100-'B2C Cost Est (FY08)'!I100</f>
        <v>0</v>
      </c>
      <c r="J100" s="14">
        <f t="shared" si="30"/>
        <v>0</v>
      </c>
      <c r="K100" s="16"/>
      <c r="L100" s="17"/>
      <c r="N100" s="14">
        <f>'SDR Cost Estimate (FY08)'!N100-'B2C Cost Est (FY08)'!N100</f>
        <v>0</v>
      </c>
      <c r="O100" s="15">
        <f>'SDR Cost Estimate (FY08)'!O100-'B2C Cost Est (FY08)'!O100</f>
        <v>0</v>
      </c>
      <c r="P100" s="14">
        <f>'SDR Cost Estimate (FY08)'!P100-'B2C Cost Est (FY08)'!P100</f>
        <v>0</v>
      </c>
      <c r="Q100" s="14">
        <f>'SDR Cost Estimate (FY08)'!Q100-'B2C Cost Est (FY08)'!Q100</f>
        <v>0</v>
      </c>
      <c r="R100" s="14">
        <f>'SDR Cost Estimate (FY08)'!R100-'B2C Cost Est (FY08)'!R100</f>
        <v>0</v>
      </c>
      <c r="S100" s="14">
        <f>'SDR Cost Estimate (FY08)'!S100-'B2C Cost Est (FY08)'!S100</f>
        <v>0</v>
      </c>
      <c r="T100" s="14">
        <f>'SDR Cost Estimate (FY08)'!T100-'B2C Cost Est (FY08)'!T100</f>
        <v>0</v>
      </c>
      <c r="U100" s="14">
        <f t="shared" si="31"/>
        <v>0</v>
      </c>
      <c r="V100" s="16"/>
      <c r="W100" s="17"/>
      <c r="Y100" s="14">
        <f>'SDR Cost Estimate (FY08)'!Y100-'B2C Cost Est (FY08)'!Y100</f>
        <v>0</v>
      </c>
      <c r="Z100" s="15">
        <f>'SDR Cost Estimate (FY08)'!Z100-'B2C Cost Est (FY08)'!Z100</f>
        <v>0</v>
      </c>
      <c r="AA100" s="14">
        <f>'SDR Cost Estimate (FY08)'!AA100-'B2C Cost Est (FY08)'!AA100</f>
        <v>0</v>
      </c>
      <c r="AB100" s="14">
        <f>'SDR Cost Estimate (FY08)'!AB100-'B2C Cost Est (FY08)'!AB100</f>
        <v>0</v>
      </c>
      <c r="AC100" s="14">
        <f>'SDR Cost Estimate (FY08)'!AC100-'B2C Cost Est (FY08)'!AC100</f>
        <v>0</v>
      </c>
      <c r="AD100" s="14">
        <f>'SDR Cost Estimate (FY08)'!AD100-'B2C Cost Est (FY08)'!AD100</f>
        <v>0</v>
      </c>
      <c r="AE100" s="14">
        <f>'SDR Cost Estimate (FY08)'!AE100-'B2C Cost Est (FY08)'!AE100</f>
        <v>0</v>
      </c>
      <c r="AF100" s="14">
        <f t="shared" si="32"/>
        <v>0</v>
      </c>
      <c r="AG100" s="16"/>
      <c r="AH100" s="17"/>
      <c r="AJ100" s="14">
        <f>'SDR Cost Estimate (FY08)'!AJ100-'B2C Cost Est (FY08)'!AJ100</f>
        <v>0</v>
      </c>
      <c r="AK100" s="15">
        <f>'SDR Cost Estimate (FY08)'!AK100-'B2C Cost Est (FY08)'!AK100</f>
        <v>0</v>
      </c>
      <c r="AL100" s="14">
        <f>'SDR Cost Estimate (FY08)'!AL100-'B2C Cost Est (FY08)'!AL100</f>
        <v>0</v>
      </c>
      <c r="AM100" s="14">
        <f>'SDR Cost Estimate (FY08)'!AM100-'B2C Cost Est (FY08)'!AM100</f>
        <v>0</v>
      </c>
      <c r="AN100" s="14">
        <f>'SDR Cost Estimate (FY08)'!AN100-'B2C Cost Est (FY08)'!AN100</f>
        <v>0</v>
      </c>
      <c r="AO100" s="14">
        <f>'SDR Cost Estimate (FY08)'!AO100-'B2C Cost Est (FY08)'!AO100</f>
        <v>0</v>
      </c>
      <c r="AP100" s="14">
        <f>'SDR Cost Estimate (FY08)'!AP100-'B2C Cost Est (FY08)'!AP100</f>
        <v>0</v>
      </c>
      <c r="AQ100" s="14">
        <f t="shared" si="33"/>
        <v>0</v>
      </c>
      <c r="AR100" s="16"/>
      <c r="AS100" s="17"/>
      <c r="AU100" s="14">
        <f>'SDR Cost Estimate (FY08)'!AU100-'B2C Cost Est (FY08)'!AU100</f>
        <v>0</v>
      </c>
      <c r="AV100" s="15">
        <f>'SDR Cost Estimate (FY08)'!AV100-'B2C Cost Est (FY08)'!AV100</f>
        <v>0</v>
      </c>
      <c r="AW100" s="14">
        <f>'SDR Cost Estimate (FY08)'!AW100-'B2C Cost Est (FY08)'!AW100</f>
        <v>0</v>
      </c>
      <c r="AX100" s="14">
        <f>'SDR Cost Estimate (FY08)'!AX100-'B2C Cost Est (FY08)'!AX100</f>
        <v>0</v>
      </c>
      <c r="AY100" s="14">
        <f>'SDR Cost Estimate (FY08)'!AY100-'B2C Cost Est (FY08)'!AY100</f>
        <v>0</v>
      </c>
      <c r="AZ100" s="14">
        <f>'SDR Cost Estimate (FY08)'!AZ100-'B2C Cost Est (FY08)'!AZ100</f>
        <v>0</v>
      </c>
      <c r="BA100" s="14">
        <f>'SDR Cost Estimate (FY08)'!BA100-'B2C Cost Est (FY08)'!BA100</f>
        <v>0</v>
      </c>
      <c r="BB100" s="14">
        <f t="shared" si="34"/>
        <v>0</v>
      </c>
      <c r="BC100" s="16"/>
    </row>
    <row r="101" spans="1:55" ht="12.75">
      <c r="A101" s="13">
        <v>8.7</v>
      </c>
      <c r="B101" s="13" t="s">
        <v>992</v>
      </c>
      <c r="C101" s="14">
        <f>'SDR Cost Estimate (FY08)'!C101-'B2C Cost Est (FY08)'!C101</f>
        <v>0</v>
      </c>
      <c r="D101" s="15">
        <f>'SDR Cost Estimate (FY08)'!D101-'B2C Cost Est (FY08)'!D101</f>
        <v>0</v>
      </c>
      <c r="E101" s="14">
        <f>'SDR Cost Estimate (FY08)'!E101-'B2C Cost Est (FY08)'!E101</f>
        <v>0</v>
      </c>
      <c r="F101" s="14">
        <f>'SDR Cost Estimate (FY08)'!F101-'B2C Cost Est (FY08)'!F101</f>
        <v>0</v>
      </c>
      <c r="G101" s="14">
        <f>'SDR Cost Estimate (FY08)'!G101-'B2C Cost Est (FY08)'!G101</f>
        <v>0</v>
      </c>
      <c r="H101" s="14">
        <f>'SDR Cost Estimate (FY08)'!H101-'B2C Cost Est (FY08)'!H101</f>
        <v>0</v>
      </c>
      <c r="I101" s="14">
        <f>'SDR Cost Estimate (FY08)'!I101-'B2C Cost Est (FY08)'!I101</f>
        <v>0</v>
      </c>
      <c r="J101" s="14">
        <f t="shared" si="30"/>
        <v>0</v>
      </c>
      <c r="K101" s="16"/>
      <c r="L101" s="17"/>
      <c r="N101" s="14">
        <f>'SDR Cost Estimate (FY08)'!N101-'B2C Cost Est (FY08)'!N101</f>
        <v>0</v>
      </c>
      <c r="O101" s="15">
        <f>'SDR Cost Estimate (FY08)'!O101-'B2C Cost Est (FY08)'!O101</f>
        <v>0</v>
      </c>
      <c r="P101" s="14">
        <f>'SDR Cost Estimate (FY08)'!P101-'B2C Cost Est (FY08)'!P101</f>
        <v>0</v>
      </c>
      <c r="Q101" s="14">
        <f>'SDR Cost Estimate (FY08)'!Q101-'B2C Cost Est (FY08)'!Q101</f>
        <v>0</v>
      </c>
      <c r="R101" s="14">
        <f>'SDR Cost Estimate (FY08)'!R101-'B2C Cost Est (FY08)'!R101</f>
        <v>0</v>
      </c>
      <c r="S101" s="14">
        <f>'SDR Cost Estimate (FY08)'!S101-'B2C Cost Est (FY08)'!S101</f>
        <v>0</v>
      </c>
      <c r="T101" s="14">
        <f>'SDR Cost Estimate (FY08)'!T101-'B2C Cost Est (FY08)'!T101</f>
        <v>0</v>
      </c>
      <c r="U101" s="14">
        <f t="shared" si="31"/>
        <v>0</v>
      </c>
      <c r="V101" s="16"/>
      <c r="W101" s="17"/>
      <c r="Y101" s="14">
        <f>'SDR Cost Estimate (FY08)'!Y101-'B2C Cost Est (FY08)'!Y101</f>
        <v>0</v>
      </c>
      <c r="Z101" s="15">
        <f>'SDR Cost Estimate (FY08)'!Z101-'B2C Cost Est (FY08)'!Z101</f>
        <v>0</v>
      </c>
      <c r="AA101" s="14">
        <f>'SDR Cost Estimate (FY08)'!AA101-'B2C Cost Est (FY08)'!AA101</f>
        <v>0</v>
      </c>
      <c r="AB101" s="14">
        <f>'SDR Cost Estimate (FY08)'!AB101-'B2C Cost Est (FY08)'!AB101</f>
        <v>0</v>
      </c>
      <c r="AC101" s="14">
        <f>'SDR Cost Estimate (FY08)'!AC101-'B2C Cost Est (FY08)'!AC101</f>
        <v>0</v>
      </c>
      <c r="AD101" s="14">
        <f>'SDR Cost Estimate (FY08)'!AD101-'B2C Cost Est (FY08)'!AD101</f>
        <v>0</v>
      </c>
      <c r="AE101" s="14">
        <f>'SDR Cost Estimate (FY08)'!AE101-'B2C Cost Est (FY08)'!AE101</f>
        <v>0</v>
      </c>
      <c r="AF101" s="14">
        <f t="shared" si="32"/>
        <v>0</v>
      </c>
      <c r="AG101" s="16"/>
      <c r="AH101" s="17"/>
      <c r="AJ101" s="14">
        <f>'SDR Cost Estimate (FY08)'!AJ101-'B2C Cost Est (FY08)'!AJ101</f>
        <v>0</v>
      </c>
      <c r="AK101" s="15">
        <f>'SDR Cost Estimate (FY08)'!AK101-'B2C Cost Est (FY08)'!AK101</f>
        <v>0</v>
      </c>
      <c r="AL101" s="14">
        <f>'SDR Cost Estimate (FY08)'!AL101-'B2C Cost Est (FY08)'!AL101</f>
        <v>0</v>
      </c>
      <c r="AM101" s="14">
        <f>'SDR Cost Estimate (FY08)'!AM101-'B2C Cost Est (FY08)'!AM101</f>
        <v>0</v>
      </c>
      <c r="AN101" s="14">
        <f>'SDR Cost Estimate (FY08)'!AN101-'B2C Cost Est (FY08)'!AN101</f>
        <v>0</v>
      </c>
      <c r="AO101" s="14">
        <f>'SDR Cost Estimate (FY08)'!AO101-'B2C Cost Est (FY08)'!AO101</f>
        <v>0</v>
      </c>
      <c r="AP101" s="14">
        <f>'SDR Cost Estimate (FY08)'!AP101-'B2C Cost Est (FY08)'!AP101</f>
        <v>0</v>
      </c>
      <c r="AQ101" s="14">
        <f t="shared" si="33"/>
        <v>0</v>
      </c>
      <c r="AR101" s="16"/>
      <c r="AS101" s="17"/>
      <c r="AU101" s="14">
        <f>'SDR Cost Estimate (FY08)'!AU101-'B2C Cost Est (FY08)'!AU101</f>
        <v>0</v>
      </c>
      <c r="AV101" s="15">
        <f>'SDR Cost Estimate (FY08)'!AV101-'B2C Cost Est (FY08)'!AV101</f>
        <v>0</v>
      </c>
      <c r="AW101" s="14">
        <f>'SDR Cost Estimate (FY08)'!AW101-'B2C Cost Est (FY08)'!AW101</f>
        <v>0</v>
      </c>
      <c r="AX101" s="14">
        <f>'SDR Cost Estimate (FY08)'!AX101-'B2C Cost Est (FY08)'!AX101</f>
        <v>0</v>
      </c>
      <c r="AY101" s="14">
        <f>'SDR Cost Estimate (FY08)'!AY101-'B2C Cost Est (FY08)'!AY101</f>
        <v>0</v>
      </c>
      <c r="AZ101" s="14">
        <f>'SDR Cost Estimate (FY08)'!AZ101-'B2C Cost Est (FY08)'!AZ101</f>
        <v>0</v>
      </c>
      <c r="BA101" s="14">
        <f>'SDR Cost Estimate (FY08)'!BA101-'B2C Cost Est (FY08)'!BA101</f>
        <v>0</v>
      </c>
      <c r="BB101" s="14">
        <f t="shared" si="34"/>
        <v>0</v>
      </c>
      <c r="BC101" s="16"/>
    </row>
    <row r="102" spans="1:55" ht="12.75">
      <c r="A102" s="13">
        <v>8.8</v>
      </c>
      <c r="B102" s="19" t="s">
        <v>993</v>
      </c>
      <c r="C102" s="14">
        <f>'SDR Cost Estimate (FY08)'!C102-'B2C Cost Est (FY08)'!C102</f>
        <v>0</v>
      </c>
      <c r="D102" s="15">
        <f>'SDR Cost Estimate (FY08)'!D102-'B2C Cost Est (FY08)'!D102</f>
        <v>0</v>
      </c>
      <c r="E102" s="14">
        <f>'SDR Cost Estimate (FY08)'!E102-'B2C Cost Est (FY08)'!E102</f>
        <v>0</v>
      </c>
      <c r="F102" s="14">
        <f>'SDR Cost Estimate (FY08)'!F102-'B2C Cost Est (FY08)'!F102</f>
        <v>0</v>
      </c>
      <c r="G102" s="14">
        <f>'SDR Cost Estimate (FY08)'!G102-'B2C Cost Est (FY08)'!G102</f>
        <v>0</v>
      </c>
      <c r="H102" s="14">
        <f>'SDR Cost Estimate (FY08)'!H102-'B2C Cost Est (FY08)'!H102</f>
        <v>0</v>
      </c>
      <c r="I102" s="14">
        <f>'SDR Cost Estimate (FY08)'!I102-'B2C Cost Est (FY08)'!I102</f>
        <v>0</v>
      </c>
      <c r="J102" s="14">
        <f t="shared" si="30"/>
        <v>0</v>
      </c>
      <c r="K102" s="16"/>
      <c r="L102" s="17"/>
      <c r="N102" s="14">
        <f>'SDR Cost Estimate (FY08)'!N102-'B2C Cost Est (FY08)'!N102</f>
        <v>0</v>
      </c>
      <c r="O102" s="15">
        <f>'SDR Cost Estimate (FY08)'!O102-'B2C Cost Est (FY08)'!O102</f>
        <v>0</v>
      </c>
      <c r="P102" s="14">
        <f>'SDR Cost Estimate (FY08)'!P102-'B2C Cost Est (FY08)'!P102</f>
        <v>0</v>
      </c>
      <c r="Q102" s="14">
        <f>'SDR Cost Estimate (FY08)'!Q102-'B2C Cost Est (FY08)'!Q102</f>
        <v>0</v>
      </c>
      <c r="R102" s="14">
        <f>'SDR Cost Estimate (FY08)'!R102-'B2C Cost Est (FY08)'!R102</f>
        <v>0</v>
      </c>
      <c r="S102" s="14">
        <f>'SDR Cost Estimate (FY08)'!S102-'B2C Cost Est (FY08)'!S102</f>
        <v>0</v>
      </c>
      <c r="T102" s="14">
        <f>'SDR Cost Estimate (FY08)'!T102-'B2C Cost Est (FY08)'!T102</f>
        <v>0</v>
      </c>
      <c r="U102" s="14">
        <f t="shared" si="31"/>
        <v>0</v>
      </c>
      <c r="V102" s="16"/>
      <c r="W102" s="17"/>
      <c r="Y102" s="14">
        <f>'SDR Cost Estimate (FY08)'!Y102-'B2C Cost Est (FY08)'!Y102</f>
        <v>0</v>
      </c>
      <c r="Z102" s="15">
        <f>'SDR Cost Estimate (FY08)'!Z102-'B2C Cost Est (FY08)'!Z102</f>
        <v>0</v>
      </c>
      <c r="AA102" s="14">
        <f>'SDR Cost Estimate (FY08)'!AA102-'B2C Cost Est (FY08)'!AA102</f>
        <v>0</v>
      </c>
      <c r="AB102" s="14">
        <f>'SDR Cost Estimate (FY08)'!AB102-'B2C Cost Est (FY08)'!AB102</f>
        <v>0</v>
      </c>
      <c r="AC102" s="14">
        <f>'SDR Cost Estimate (FY08)'!AC102-'B2C Cost Est (FY08)'!AC102</f>
        <v>0</v>
      </c>
      <c r="AD102" s="14">
        <f>'SDR Cost Estimate (FY08)'!AD102-'B2C Cost Est (FY08)'!AD102</f>
        <v>0</v>
      </c>
      <c r="AE102" s="14">
        <f>'SDR Cost Estimate (FY08)'!AE102-'B2C Cost Est (FY08)'!AE102</f>
        <v>0</v>
      </c>
      <c r="AF102" s="14">
        <f t="shared" si="32"/>
        <v>0</v>
      </c>
      <c r="AG102" s="16"/>
      <c r="AH102" s="17"/>
      <c r="AJ102" s="14">
        <f>'SDR Cost Estimate (FY08)'!AJ102-'B2C Cost Est (FY08)'!AJ102</f>
        <v>0</v>
      </c>
      <c r="AK102" s="15">
        <f>'SDR Cost Estimate (FY08)'!AK102-'B2C Cost Est (FY08)'!AK102</f>
        <v>0</v>
      </c>
      <c r="AL102" s="14">
        <f>'SDR Cost Estimate (FY08)'!AL102-'B2C Cost Est (FY08)'!AL102</f>
        <v>0</v>
      </c>
      <c r="AM102" s="14">
        <f>'SDR Cost Estimate (FY08)'!AM102-'B2C Cost Est (FY08)'!AM102</f>
        <v>0</v>
      </c>
      <c r="AN102" s="14">
        <f>'SDR Cost Estimate (FY08)'!AN102-'B2C Cost Est (FY08)'!AN102</f>
        <v>0</v>
      </c>
      <c r="AO102" s="14">
        <f>'SDR Cost Estimate (FY08)'!AO102-'B2C Cost Est (FY08)'!AO102</f>
        <v>0</v>
      </c>
      <c r="AP102" s="14">
        <f>'SDR Cost Estimate (FY08)'!AP102-'B2C Cost Est (FY08)'!AP102</f>
        <v>0</v>
      </c>
      <c r="AQ102" s="14">
        <f t="shared" si="33"/>
        <v>0</v>
      </c>
      <c r="AR102" s="16"/>
      <c r="AS102" s="17"/>
      <c r="AU102" s="14">
        <f>'SDR Cost Estimate (FY08)'!AU102-'B2C Cost Est (FY08)'!AU102</f>
        <v>0</v>
      </c>
      <c r="AV102" s="15">
        <f>'SDR Cost Estimate (FY08)'!AV102-'B2C Cost Est (FY08)'!AV102</f>
        <v>0</v>
      </c>
      <c r="AW102" s="14">
        <f>'SDR Cost Estimate (FY08)'!AW102-'B2C Cost Est (FY08)'!AW102</f>
        <v>0</v>
      </c>
      <c r="AX102" s="14">
        <f>'SDR Cost Estimate (FY08)'!AX102-'B2C Cost Est (FY08)'!AX102</f>
        <v>0</v>
      </c>
      <c r="AY102" s="14">
        <f>'SDR Cost Estimate (FY08)'!AY102-'B2C Cost Est (FY08)'!AY102</f>
        <v>0</v>
      </c>
      <c r="AZ102" s="14">
        <f>'SDR Cost Estimate (FY08)'!AZ102-'B2C Cost Est (FY08)'!AZ102</f>
        <v>0</v>
      </c>
      <c r="BA102" s="14">
        <f>'SDR Cost Estimate (FY08)'!BA102-'B2C Cost Est (FY08)'!BA102</f>
        <v>0</v>
      </c>
      <c r="BB102" s="14">
        <f t="shared" si="34"/>
        <v>0</v>
      </c>
      <c r="BC102" s="16"/>
    </row>
    <row r="103" spans="1:56" ht="12.75">
      <c r="A103" s="8">
        <v>9</v>
      </c>
      <c r="B103" s="9" t="s">
        <v>994</v>
      </c>
      <c r="C103" s="25"/>
      <c r="D103" s="25"/>
      <c r="E103" s="25"/>
      <c r="F103" s="25"/>
      <c r="G103" s="25"/>
      <c r="H103" s="25"/>
      <c r="I103" s="25"/>
      <c r="J103" s="25"/>
      <c r="K103" s="11">
        <f>L103/L$108</f>
        <v>0</v>
      </c>
      <c r="L103" s="12">
        <f>SUM(J104:J107)</f>
        <v>0</v>
      </c>
      <c r="N103" s="25"/>
      <c r="O103" s="25"/>
      <c r="P103" s="25"/>
      <c r="Q103" s="25"/>
      <c r="R103" s="25"/>
      <c r="S103" s="25"/>
      <c r="T103" s="25"/>
      <c r="U103" s="25"/>
      <c r="V103" s="25"/>
      <c r="W103" s="12">
        <f>SUM(U104:U107)</f>
        <v>0</v>
      </c>
      <c r="Y103" s="25"/>
      <c r="Z103" s="25"/>
      <c r="AA103" s="25"/>
      <c r="AB103" s="25"/>
      <c r="AC103" s="25"/>
      <c r="AD103" s="25"/>
      <c r="AE103" s="25"/>
      <c r="AF103" s="25"/>
      <c r="AG103" s="25"/>
      <c r="AH103" s="12">
        <f>SUM(AF104:AF107)</f>
        <v>0</v>
      </c>
      <c r="AJ103" s="25"/>
      <c r="AK103" s="25"/>
      <c r="AL103" s="25"/>
      <c r="AM103" s="25"/>
      <c r="AN103" s="25"/>
      <c r="AO103" s="25"/>
      <c r="AP103" s="25"/>
      <c r="AQ103" s="25"/>
      <c r="AR103" s="25"/>
      <c r="AS103" s="12">
        <f>SUM(AQ104:AQ107)</f>
        <v>0</v>
      </c>
      <c r="AU103" s="25"/>
      <c r="AV103" s="25"/>
      <c r="AW103" s="25"/>
      <c r="AX103" s="25"/>
      <c r="AY103" s="25"/>
      <c r="AZ103" s="25"/>
      <c r="BA103" s="25"/>
      <c r="BB103" s="25"/>
      <c r="BC103" s="25"/>
      <c r="BD103" s="12">
        <f>SUM(BB104:BB107)</f>
        <v>0</v>
      </c>
    </row>
    <row r="104" spans="1:55" ht="12.75">
      <c r="A104" s="13">
        <v>9.1</v>
      </c>
      <c r="B104" s="19" t="s">
        <v>995</v>
      </c>
      <c r="C104" s="14">
        <f>'SDR Cost Estimate (FY08)'!C104-'B2C Cost Est (FY08)'!C104</f>
        <v>0</v>
      </c>
      <c r="D104" s="15">
        <f>'SDR Cost Estimate (FY08)'!D104-'B2C Cost Est (FY08)'!D104</f>
        <v>0</v>
      </c>
      <c r="E104" s="14">
        <f>'SDR Cost Estimate (FY08)'!E104-'B2C Cost Est (FY08)'!E104</f>
        <v>0</v>
      </c>
      <c r="F104" s="14">
        <f>'SDR Cost Estimate (FY08)'!F104-'B2C Cost Est (FY08)'!F104</f>
        <v>0</v>
      </c>
      <c r="G104" s="14">
        <f>'SDR Cost Estimate (FY08)'!G104-'B2C Cost Est (FY08)'!G104</f>
        <v>0</v>
      </c>
      <c r="H104" s="14">
        <f>'SDR Cost Estimate (FY08)'!H104-'B2C Cost Est (FY08)'!H104</f>
        <v>0</v>
      </c>
      <c r="I104" s="14">
        <f>'SDR Cost Estimate (FY08)'!I104-'B2C Cost Est (FY08)'!I104</f>
        <v>0</v>
      </c>
      <c r="J104" s="14">
        <f>SUM(F104:I104)</f>
        <v>0</v>
      </c>
      <c r="K104" s="16"/>
      <c r="L104" s="17"/>
      <c r="N104" s="14">
        <f>'SDR Cost Estimate (FY08)'!N104-'B2C Cost Est (FY08)'!N104</f>
        <v>0</v>
      </c>
      <c r="O104" s="15">
        <f>'SDR Cost Estimate (FY08)'!O104-'B2C Cost Est (FY08)'!O104</f>
        <v>0</v>
      </c>
      <c r="P104" s="14">
        <f>'SDR Cost Estimate (FY08)'!P104-'B2C Cost Est (FY08)'!P104</f>
        <v>0</v>
      </c>
      <c r="Q104" s="14">
        <f>'SDR Cost Estimate (FY08)'!Q104-'B2C Cost Est (FY08)'!Q104</f>
        <v>0</v>
      </c>
      <c r="R104" s="14">
        <f>'SDR Cost Estimate (FY08)'!R104-'B2C Cost Est (FY08)'!R104</f>
        <v>0</v>
      </c>
      <c r="S104" s="14">
        <f>'SDR Cost Estimate (FY08)'!S104-'B2C Cost Est (FY08)'!S104</f>
        <v>0</v>
      </c>
      <c r="T104" s="14">
        <f>'SDR Cost Estimate (FY08)'!T104-'B2C Cost Est (FY08)'!T104</f>
        <v>0</v>
      </c>
      <c r="U104" s="14">
        <f>SUM(Q104:T104)</f>
        <v>0</v>
      </c>
      <c r="V104" s="16"/>
      <c r="W104" s="17"/>
      <c r="Y104" s="14">
        <f>'SDR Cost Estimate (FY08)'!Y104-'B2C Cost Est (FY08)'!Y104</f>
        <v>0</v>
      </c>
      <c r="Z104" s="15">
        <f>'SDR Cost Estimate (FY08)'!Z104-'B2C Cost Est (FY08)'!Z104</f>
        <v>0</v>
      </c>
      <c r="AA104" s="14">
        <f>'SDR Cost Estimate (FY08)'!AA104-'B2C Cost Est (FY08)'!AA104</f>
        <v>0</v>
      </c>
      <c r="AB104" s="14">
        <f>'SDR Cost Estimate (FY08)'!AB104-'B2C Cost Est (FY08)'!AB104</f>
        <v>0</v>
      </c>
      <c r="AC104" s="14">
        <f>'SDR Cost Estimate (FY08)'!AC104-'B2C Cost Est (FY08)'!AC104</f>
        <v>0</v>
      </c>
      <c r="AD104" s="14">
        <f>'SDR Cost Estimate (FY08)'!AD104-'B2C Cost Est (FY08)'!AD104</f>
        <v>0</v>
      </c>
      <c r="AE104" s="14">
        <f>'SDR Cost Estimate (FY08)'!AE104-'B2C Cost Est (FY08)'!AE104</f>
        <v>0</v>
      </c>
      <c r="AF104" s="14">
        <f>SUM(AB104:AE104)</f>
        <v>0</v>
      </c>
      <c r="AG104" s="16"/>
      <c r="AH104" s="17"/>
      <c r="AJ104" s="14">
        <f>'SDR Cost Estimate (FY08)'!AJ104-'B2C Cost Est (FY08)'!AJ104</f>
        <v>0</v>
      </c>
      <c r="AK104" s="15">
        <f>'SDR Cost Estimate (FY08)'!AK104-'B2C Cost Est (FY08)'!AK104</f>
        <v>0</v>
      </c>
      <c r="AL104" s="14">
        <f>'SDR Cost Estimate (FY08)'!AL104-'B2C Cost Est (FY08)'!AL104</f>
        <v>0</v>
      </c>
      <c r="AM104" s="14">
        <f>'SDR Cost Estimate (FY08)'!AM104-'B2C Cost Est (FY08)'!AM104</f>
        <v>0</v>
      </c>
      <c r="AN104" s="14">
        <f>'SDR Cost Estimate (FY08)'!AN104-'B2C Cost Est (FY08)'!AN104</f>
        <v>0</v>
      </c>
      <c r="AO104" s="14">
        <f>'SDR Cost Estimate (FY08)'!AO104-'B2C Cost Est (FY08)'!AO104</f>
        <v>0</v>
      </c>
      <c r="AP104" s="14">
        <f>'SDR Cost Estimate (FY08)'!AP104-'B2C Cost Est (FY08)'!AP104</f>
        <v>0</v>
      </c>
      <c r="AQ104" s="14">
        <f>SUM(AM104:AP104)</f>
        <v>0</v>
      </c>
      <c r="AR104" s="16"/>
      <c r="AS104" s="17"/>
      <c r="AU104" s="14">
        <f>'SDR Cost Estimate (FY08)'!AU104-'B2C Cost Est (FY08)'!AU104</f>
        <v>0</v>
      </c>
      <c r="AV104" s="15">
        <f>'SDR Cost Estimate (FY08)'!AV104-'B2C Cost Est (FY08)'!AV104</f>
        <v>0</v>
      </c>
      <c r="AW104" s="14">
        <f>'SDR Cost Estimate (FY08)'!AW104-'B2C Cost Est (FY08)'!AW104</f>
        <v>0</v>
      </c>
      <c r="AX104" s="14">
        <f>'SDR Cost Estimate (FY08)'!AX104-'B2C Cost Est (FY08)'!AX104</f>
        <v>0</v>
      </c>
      <c r="AY104" s="14">
        <f>'SDR Cost Estimate (FY08)'!AY104-'B2C Cost Est (FY08)'!AY104</f>
        <v>0</v>
      </c>
      <c r="AZ104" s="14">
        <f>'SDR Cost Estimate (FY08)'!AZ104-'B2C Cost Est (FY08)'!AZ104</f>
        <v>0</v>
      </c>
      <c r="BA104" s="14">
        <f>'SDR Cost Estimate (FY08)'!BA104-'B2C Cost Est (FY08)'!BA104</f>
        <v>0</v>
      </c>
      <c r="BB104" s="14">
        <f>SUM(AX104:BA104)</f>
        <v>0</v>
      </c>
      <c r="BC104" s="16"/>
    </row>
    <row r="105" spans="1:55" ht="12.75">
      <c r="A105" s="13">
        <v>9.2</v>
      </c>
      <c r="B105" s="19" t="s">
        <v>996</v>
      </c>
      <c r="K105" s="22"/>
      <c r="V105" s="22"/>
      <c r="AG105" s="22"/>
      <c r="AR105" s="22"/>
      <c r="BC105" s="22"/>
    </row>
    <row r="106" spans="1:55" ht="12.75">
      <c r="A106" s="26" t="s">
        <v>997</v>
      </c>
      <c r="B106" s="19" t="s">
        <v>998</v>
      </c>
      <c r="C106" s="14">
        <f>'SDR Cost Estimate (FY08)'!C106-'B2C Cost Est (FY08)'!C106</f>
        <v>0</v>
      </c>
      <c r="D106" s="15">
        <f>'SDR Cost Estimate (FY08)'!D106-'B2C Cost Est (FY08)'!D106</f>
        <v>0</v>
      </c>
      <c r="E106" s="14">
        <f>'SDR Cost Estimate (FY08)'!E106-'B2C Cost Est (FY08)'!E106</f>
        <v>0</v>
      </c>
      <c r="F106" s="14">
        <f>'SDR Cost Estimate (FY08)'!F106-'B2C Cost Est (FY08)'!F106</f>
        <v>0</v>
      </c>
      <c r="G106" s="14">
        <f>'SDR Cost Estimate (FY08)'!G106-'B2C Cost Est (FY08)'!G106</f>
        <v>0</v>
      </c>
      <c r="H106" s="14">
        <f>'SDR Cost Estimate (FY08)'!H106-'B2C Cost Est (FY08)'!H106</f>
        <v>0</v>
      </c>
      <c r="I106" s="14">
        <f>'SDR Cost Estimate (FY08)'!I106-'B2C Cost Est (FY08)'!I106</f>
        <v>0</v>
      </c>
      <c r="J106" s="14">
        <f>SUM(F106:I106)</f>
        <v>0</v>
      </c>
      <c r="K106" s="16"/>
      <c r="L106" s="17"/>
      <c r="N106" s="14">
        <f>'SDR Cost Estimate (FY08)'!N106-'B2C Cost Est (FY08)'!N106</f>
        <v>0</v>
      </c>
      <c r="O106" s="15">
        <f>'SDR Cost Estimate (FY08)'!O106-'B2C Cost Est (FY08)'!O106</f>
        <v>0</v>
      </c>
      <c r="P106" s="14">
        <f>'SDR Cost Estimate (FY08)'!P106-'B2C Cost Est (FY08)'!P106</f>
        <v>0</v>
      </c>
      <c r="Q106" s="14">
        <f>'SDR Cost Estimate (FY08)'!Q106-'B2C Cost Est (FY08)'!Q106</f>
        <v>0</v>
      </c>
      <c r="R106" s="14">
        <f>'SDR Cost Estimate (FY08)'!R106-'B2C Cost Est (FY08)'!R106</f>
        <v>0</v>
      </c>
      <c r="S106" s="14">
        <f>'SDR Cost Estimate (FY08)'!S106-'B2C Cost Est (FY08)'!S106</f>
        <v>0</v>
      </c>
      <c r="T106" s="14">
        <f>'SDR Cost Estimate (FY08)'!T106-'B2C Cost Est (FY08)'!T106</f>
        <v>0</v>
      </c>
      <c r="U106" s="14">
        <f>SUM(Q106:T106)</f>
        <v>0</v>
      </c>
      <c r="V106" s="16"/>
      <c r="W106" s="17"/>
      <c r="Y106" s="14">
        <f>'SDR Cost Estimate (FY08)'!Y106-'B2C Cost Est (FY08)'!Y106</f>
        <v>0</v>
      </c>
      <c r="Z106" s="15">
        <f>'SDR Cost Estimate (FY08)'!Z106-'B2C Cost Est (FY08)'!Z106</f>
        <v>0</v>
      </c>
      <c r="AA106" s="14">
        <f>'SDR Cost Estimate (FY08)'!AA106-'B2C Cost Est (FY08)'!AA106</f>
        <v>0</v>
      </c>
      <c r="AB106" s="14">
        <f>'SDR Cost Estimate (FY08)'!AB106-'B2C Cost Est (FY08)'!AB106</f>
        <v>0</v>
      </c>
      <c r="AC106" s="14">
        <f>'SDR Cost Estimate (FY08)'!AC106-'B2C Cost Est (FY08)'!AC106</f>
        <v>0</v>
      </c>
      <c r="AD106" s="14">
        <f>'SDR Cost Estimate (FY08)'!AD106-'B2C Cost Est (FY08)'!AD106</f>
        <v>0</v>
      </c>
      <c r="AE106" s="14">
        <f>'SDR Cost Estimate (FY08)'!AE106-'B2C Cost Est (FY08)'!AE106</f>
        <v>0</v>
      </c>
      <c r="AF106" s="14">
        <f>SUM(AB106:AE106)</f>
        <v>0</v>
      </c>
      <c r="AG106" s="16"/>
      <c r="AH106" s="17"/>
      <c r="AJ106" s="14">
        <f>'SDR Cost Estimate (FY08)'!AJ106-'B2C Cost Est (FY08)'!AJ106</f>
        <v>0</v>
      </c>
      <c r="AK106" s="15">
        <f>'SDR Cost Estimate (FY08)'!AK106-'B2C Cost Est (FY08)'!AK106</f>
        <v>0</v>
      </c>
      <c r="AL106" s="14">
        <f>'SDR Cost Estimate (FY08)'!AL106-'B2C Cost Est (FY08)'!AL106</f>
        <v>0</v>
      </c>
      <c r="AM106" s="14">
        <f>'SDR Cost Estimate (FY08)'!AM106-'B2C Cost Est (FY08)'!AM106</f>
        <v>0</v>
      </c>
      <c r="AN106" s="14">
        <f>'SDR Cost Estimate (FY08)'!AN106-'B2C Cost Est (FY08)'!AN106</f>
        <v>0</v>
      </c>
      <c r="AO106" s="14">
        <f>'SDR Cost Estimate (FY08)'!AO106-'B2C Cost Est (FY08)'!AO106</f>
        <v>0</v>
      </c>
      <c r="AP106" s="14">
        <f>'SDR Cost Estimate (FY08)'!AP106-'B2C Cost Est (FY08)'!AP106</f>
        <v>0</v>
      </c>
      <c r="AQ106" s="14">
        <f>SUM(AM106:AP106)</f>
        <v>0</v>
      </c>
      <c r="AR106" s="16"/>
      <c r="AS106" s="17"/>
      <c r="AU106" s="14">
        <f>'SDR Cost Estimate (FY08)'!AU106-'B2C Cost Est (FY08)'!AU106</f>
        <v>0</v>
      </c>
      <c r="AV106" s="15">
        <f>'SDR Cost Estimate (FY08)'!AV106-'B2C Cost Est (FY08)'!AV106</f>
        <v>0</v>
      </c>
      <c r="AW106" s="14">
        <f>'SDR Cost Estimate (FY08)'!AW106-'B2C Cost Est (FY08)'!AW106</f>
        <v>0</v>
      </c>
      <c r="AX106" s="14">
        <f>'SDR Cost Estimate (FY08)'!AX106-'B2C Cost Est (FY08)'!AX106</f>
        <v>0</v>
      </c>
      <c r="AY106" s="14">
        <f>'SDR Cost Estimate (FY08)'!AY106-'B2C Cost Est (FY08)'!AY106</f>
        <v>0</v>
      </c>
      <c r="AZ106" s="14">
        <f>'SDR Cost Estimate (FY08)'!AZ106-'B2C Cost Est (FY08)'!AZ106</f>
        <v>0</v>
      </c>
      <c r="BA106" s="14">
        <f>'SDR Cost Estimate (FY08)'!BA106-'B2C Cost Est (FY08)'!BA106</f>
        <v>0</v>
      </c>
      <c r="BB106" s="14">
        <f>SUM(AX106:BA106)</f>
        <v>0</v>
      </c>
      <c r="BC106" s="16"/>
    </row>
    <row r="107" spans="1:55" ht="12.75">
      <c r="A107" s="26" t="s">
        <v>999</v>
      </c>
      <c r="B107" s="19" t="s">
        <v>1000</v>
      </c>
      <c r="C107" s="14">
        <f>'SDR Cost Estimate (FY08)'!C107-'B2C Cost Est (FY08)'!C107</f>
        <v>0</v>
      </c>
      <c r="D107" s="15">
        <f>'SDR Cost Estimate (FY08)'!D107-'B2C Cost Est (FY08)'!D107</f>
        <v>0</v>
      </c>
      <c r="E107" s="14">
        <f>'SDR Cost Estimate (FY08)'!E107-'B2C Cost Est (FY08)'!E107</f>
        <v>0</v>
      </c>
      <c r="F107" s="14">
        <f>'SDR Cost Estimate (FY08)'!F107-'B2C Cost Est (FY08)'!F107</f>
        <v>0</v>
      </c>
      <c r="G107" s="14">
        <f>'SDR Cost Estimate (FY08)'!G107-'B2C Cost Est (FY08)'!G107</f>
        <v>0</v>
      </c>
      <c r="H107" s="14">
        <f>'SDR Cost Estimate (FY08)'!H107-'B2C Cost Est (FY08)'!H107</f>
        <v>0</v>
      </c>
      <c r="I107" s="14">
        <f>'SDR Cost Estimate (FY08)'!I107-'B2C Cost Est (FY08)'!I107</f>
        <v>0</v>
      </c>
      <c r="J107" s="14">
        <f>SUM(F107:I107)</f>
        <v>0</v>
      </c>
      <c r="K107" s="16"/>
      <c r="L107" s="17"/>
      <c r="N107" s="14">
        <f>'SDR Cost Estimate (FY08)'!N107-'B2C Cost Est (FY08)'!N107</f>
        <v>0</v>
      </c>
      <c r="O107" s="15">
        <f>'SDR Cost Estimate (FY08)'!O107-'B2C Cost Est (FY08)'!O107</f>
        <v>0</v>
      </c>
      <c r="P107" s="14">
        <f>'SDR Cost Estimate (FY08)'!P107-'B2C Cost Est (FY08)'!P107</f>
        <v>0</v>
      </c>
      <c r="Q107" s="14">
        <f>'SDR Cost Estimate (FY08)'!Q107-'B2C Cost Est (FY08)'!Q107</f>
        <v>0</v>
      </c>
      <c r="R107" s="14">
        <f>'SDR Cost Estimate (FY08)'!R107-'B2C Cost Est (FY08)'!R107</f>
        <v>0</v>
      </c>
      <c r="S107" s="14">
        <f>'SDR Cost Estimate (FY08)'!S107-'B2C Cost Est (FY08)'!S107</f>
        <v>0</v>
      </c>
      <c r="T107" s="14">
        <f>'SDR Cost Estimate (FY08)'!T107-'B2C Cost Est (FY08)'!T107</f>
        <v>0</v>
      </c>
      <c r="U107" s="14">
        <f>SUM(Q107:T107)</f>
        <v>0</v>
      </c>
      <c r="V107" s="16"/>
      <c r="W107" s="17"/>
      <c r="Y107" s="14">
        <f>'SDR Cost Estimate (FY08)'!Y107-'B2C Cost Est (FY08)'!Y107</f>
        <v>0</v>
      </c>
      <c r="Z107" s="15">
        <f>'SDR Cost Estimate (FY08)'!Z107-'B2C Cost Est (FY08)'!Z107</f>
        <v>0</v>
      </c>
      <c r="AA107" s="14">
        <f>'SDR Cost Estimate (FY08)'!AA107-'B2C Cost Est (FY08)'!AA107</f>
        <v>0</v>
      </c>
      <c r="AB107" s="14">
        <f>'SDR Cost Estimate (FY08)'!AB107-'B2C Cost Est (FY08)'!AB107</f>
        <v>0</v>
      </c>
      <c r="AC107" s="14">
        <f>'SDR Cost Estimate (FY08)'!AC107-'B2C Cost Est (FY08)'!AC107</f>
        <v>0</v>
      </c>
      <c r="AD107" s="14">
        <f>'SDR Cost Estimate (FY08)'!AD107-'B2C Cost Est (FY08)'!AD107</f>
        <v>0</v>
      </c>
      <c r="AE107" s="14">
        <f>'SDR Cost Estimate (FY08)'!AE107-'B2C Cost Est (FY08)'!AE107</f>
        <v>0</v>
      </c>
      <c r="AF107" s="14">
        <f>SUM(AB107:AE107)</f>
        <v>0</v>
      </c>
      <c r="AG107" s="16"/>
      <c r="AH107" s="17"/>
      <c r="AJ107" s="14">
        <f>'SDR Cost Estimate (FY08)'!AJ107-'B2C Cost Est (FY08)'!AJ107</f>
        <v>0</v>
      </c>
      <c r="AK107" s="15">
        <f>'SDR Cost Estimate (FY08)'!AK107-'B2C Cost Est (FY08)'!AK107</f>
        <v>0</v>
      </c>
      <c r="AL107" s="14">
        <f>'SDR Cost Estimate (FY08)'!AL107-'B2C Cost Est (FY08)'!AL107</f>
        <v>0</v>
      </c>
      <c r="AM107" s="14">
        <f>'SDR Cost Estimate (FY08)'!AM107-'B2C Cost Est (FY08)'!AM107</f>
        <v>0</v>
      </c>
      <c r="AN107" s="14">
        <f>'SDR Cost Estimate (FY08)'!AN107-'B2C Cost Est (FY08)'!AN107</f>
        <v>0</v>
      </c>
      <c r="AO107" s="14">
        <f>'SDR Cost Estimate (FY08)'!AO107-'B2C Cost Est (FY08)'!AO107</f>
        <v>0</v>
      </c>
      <c r="AP107" s="14">
        <f>'SDR Cost Estimate (FY08)'!AP107-'B2C Cost Est (FY08)'!AP107</f>
        <v>0</v>
      </c>
      <c r="AQ107" s="14">
        <f>SUM(AM107:AP107)</f>
        <v>0</v>
      </c>
      <c r="AR107" s="16"/>
      <c r="AS107" s="17"/>
      <c r="AU107" s="14">
        <f>'SDR Cost Estimate (FY08)'!AU107-'B2C Cost Est (FY08)'!AU107</f>
        <v>0</v>
      </c>
      <c r="AV107" s="15">
        <f>'SDR Cost Estimate (FY08)'!AV107-'B2C Cost Est (FY08)'!AV107</f>
        <v>0</v>
      </c>
      <c r="AW107" s="14">
        <f>'SDR Cost Estimate (FY08)'!AW107-'B2C Cost Est (FY08)'!AW107</f>
        <v>0</v>
      </c>
      <c r="AX107" s="14">
        <f>'SDR Cost Estimate (FY08)'!AX107-'B2C Cost Est (FY08)'!AX107</f>
        <v>0</v>
      </c>
      <c r="AY107" s="14">
        <f>'SDR Cost Estimate (FY08)'!AY107-'B2C Cost Est (FY08)'!AY107</f>
        <v>0</v>
      </c>
      <c r="AZ107" s="14">
        <f>'SDR Cost Estimate (FY08)'!AZ107-'B2C Cost Est (FY08)'!AZ107</f>
        <v>0</v>
      </c>
      <c r="BA107" s="14">
        <f>'SDR Cost Estimate (FY08)'!BA107-'B2C Cost Est (FY08)'!BA107</f>
        <v>0</v>
      </c>
      <c r="BB107" s="14">
        <f>SUM(AX107:BA107)</f>
        <v>0</v>
      </c>
      <c r="BC107" s="16"/>
    </row>
    <row r="108" spans="1:56" ht="12.75">
      <c r="A108" s="27"/>
      <c r="B108" s="28" t="s">
        <v>837</v>
      </c>
      <c r="C108" s="20">
        <f aca="true" t="shared" si="35" ref="C108:J108">SUM(C5:C107)</f>
        <v>13975.499999999998</v>
      </c>
      <c r="D108" s="20">
        <f t="shared" si="35"/>
        <v>7.764166666666667</v>
      </c>
      <c r="E108" s="20">
        <f t="shared" si="35"/>
        <v>17.93333333333333</v>
      </c>
      <c r="F108" s="20">
        <f t="shared" si="35"/>
        <v>878.6286264496941</v>
      </c>
      <c r="G108" s="20">
        <f t="shared" si="35"/>
        <v>1242.0307927540978</v>
      </c>
      <c r="H108" s="20">
        <f t="shared" si="35"/>
        <v>57.92095638020838</v>
      </c>
      <c r="I108" s="20">
        <f t="shared" si="35"/>
        <v>-44.98462499626848</v>
      </c>
      <c r="J108" s="20">
        <f t="shared" si="35"/>
        <v>2133.5957505877313</v>
      </c>
      <c r="K108" s="232">
        <f>L108/L$108</f>
        <v>1</v>
      </c>
      <c r="L108" s="12">
        <f>SUM(L4:L103)</f>
        <v>2133.595750587732</v>
      </c>
      <c r="N108" s="20">
        <f aca="true" t="shared" si="36" ref="N108:U108">SUM(N5:N107)</f>
        <v>1168.1999999999998</v>
      </c>
      <c r="O108" s="20">
        <f t="shared" si="36"/>
        <v>0.6489999999999998</v>
      </c>
      <c r="P108" s="20">
        <f t="shared" si="36"/>
        <v>3.3000000000000007</v>
      </c>
      <c r="Q108" s="20">
        <f t="shared" si="36"/>
        <v>86.09340611111072</v>
      </c>
      <c r="R108" s="20">
        <f t="shared" si="36"/>
        <v>82.38424466666667</v>
      </c>
      <c r="S108" s="20">
        <f t="shared" si="36"/>
        <v>9.902819531250003</v>
      </c>
      <c r="T108" s="20">
        <f t="shared" si="36"/>
        <v>16.270117528843425</v>
      </c>
      <c r="U108" s="20">
        <f t="shared" si="36"/>
        <v>194.65058783787083</v>
      </c>
      <c r="V108" s="16">
        <f>U108/$J108</f>
        <v>0.09123124086849693</v>
      </c>
      <c r="W108" s="12">
        <f>SUM(W4:W103)</f>
        <v>194.65058783787086</v>
      </c>
      <c r="Y108" s="20">
        <f aca="true" t="shared" si="37" ref="Y108:AF108">SUM(Y5:Y107)</f>
        <v>3504.4000000000005</v>
      </c>
      <c r="Z108" s="20">
        <f t="shared" si="37"/>
        <v>1.946888888888889</v>
      </c>
      <c r="AA108" s="20">
        <f t="shared" si="37"/>
        <v>5.699999999999996</v>
      </c>
      <c r="AB108" s="20">
        <f t="shared" si="37"/>
        <v>255.35286416666645</v>
      </c>
      <c r="AC108" s="20">
        <f t="shared" si="37"/>
        <v>10</v>
      </c>
      <c r="AD108" s="20">
        <f t="shared" si="37"/>
        <v>18.349291145833334</v>
      </c>
      <c r="AE108" s="20">
        <f t="shared" si="37"/>
        <v>-137.00164654581064</v>
      </c>
      <c r="AF108" s="20">
        <f t="shared" si="37"/>
        <v>146.70050876668904</v>
      </c>
      <c r="AG108" s="16">
        <f>AF108/$J108</f>
        <v>0.06875740576736626</v>
      </c>
      <c r="AH108" s="12">
        <f>SUM(AH4:AH103)</f>
        <v>146.70050876668907</v>
      </c>
      <c r="AJ108" s="20">
        <f aca="true" t="shared" si="38" ref="AJ108:AQ108">SUM(AJ5:AJ107)</f>
        <v>7740.9</v>
      </c>
      <c r="AK108" s="20">
        <f t="shared" si="38"/>
        <v>4.3005</v>
      </c>
      <c r="AL108" s="20">
        <f t="shared" si="38"/>
        <v>8.933333333333332</v>
      </c>
      <c r="AM108" s="20">
        <f t="shared" si="38"/>
        <v>434.1973257552498</v>
      </c>
      <c r="AN108" s="20">
        <f t="shared" si="38"/>
        <v>1149.6465480874315</v>
      </c>
      <c r="AO108" s="20">
        <f t="shared" si="38"/>
        <v>29.668845703125</v>
      </c>
      <c r="AP108" s="20">
        <f t="shared" si="38"/>
        <v>84.44998876557207</v>
      </c>
      <c r="AQ108" s="20">
        <f t="shared" si="38"/>
        <v>1697.9627083113778</v>
      </c>
      <c r="AR108" s="16">
        <f>AQ108/$J108</f>
        <v>0.7958221269627334</v>
      </c>
      <c r="AS108" s="12">
        <f>SUM(AS4:AS103)</f>
        <v>1697.9627083113785</v>
      </c>
      <c r="AU108" s="20">
        <f>SUM(AU5:AU107)</f>
        <v>1562</v>
      </c>
      <c r="AV108" s="20">
        <f aca="true" t="shared" si="39" ref="AV108:BB108">SUM(AV5:AV107)</f>
        <v>0.8677777777777778</v>
      </c>
      <c r="AW108" s="20">
        <f t="shared" si="39"/>
        <v>0</v>
      </c>
      <c r="AX108" s="20">
        <f t="shared" si="39"/>
        <v>102.98503041666663</v>
      </c>
      <c r="AY108" s="20">
        <f t="shared" si="39"/>
        <v>0</v>
      </c>
      <c r="AZ108" s="20">
        <f t="shared" si="39"/>
        <v>0</v>
      </c>
      <c r="BA108" s="20">
        <f t="shared" si="39"/>
        <v>-8.703084744873081</v>
      </c>
      <c r="BB108" s="20">
        <f t="shared" si="39"/>
        <v>94.28194567179355</v>
      </c>
      <c r="BC108" s="16">
        <f>BB108/$J108</f>
        <v>0.04418922640140343</v>
      </c>
      <c r="BD108" s="12">
        <f>SUM(BD4:BD103)</f>
        <v>94.28194567179355</v>
      </c>
    </row>
  </sheetData>
  <mergeCells count="26">
    <mergeCell ref="AJ2:AK2"/>
    <mergeCell ref="Y2:Z2"/>
    <mergeCell ref="C1:L1"/>
    <mergeCell ref="N1:W1"/>
    <mergeCell ref="Y1:AH1"/>
    <mergeCell ref="AG2:AG3"/>
    <mergeCell ref="AU1:BD1"/>
    <mergeCell ref="C2:D2"/>
    <mergeCell ref="E2:E3"/>
    <mergeCell ref="F2:J2"/>
    <mergeCell ref="K2:K3"/>
    <mergeCell ref="N2:O2"/>
    <mergeCell ref="P2:P3"/>
    <mergeCell ref="Q2:U2"/>
    <mergeCell ref="AJ1:AS1"/>
    <mergeCell ref="V2:V3"/>
    <mergeCell ref="A2:B3"/>
    <mergeCell ref="AW2:AW3"/>
    <mergeCell ref="AX2:BB2"/>
    <mergeCell ref="BC2:BC3"/>
    <mergeCell ref="AL2:AL3"/>
    <mergeCell ref="AM2:AQ2"/>
    <mergeCell ref="AR2:AR3"/>
    <mergeCell ref="AU2:AV2"/>
    <mergeCell ref="AA2:AA3"/>
    <mergeCell ref="AB2:AF2"/>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AG298"/>
  <sheetViews>
    <sheetView workbookViewId="0" topLeftCell="A1">
      <selection activeCell="A11" sqref="A11"/>
    </sheetView>
  </sheetViews>
  <sheetFormatPr defaultColWidth="9.140625" defaultRowHeight="12.75"/>
  <cols>
    <col min="1" max="1" width="32.00390625" style="0" customWidth="1"/>
    <col min="2" max="4" width="0" style="0" hidden="1" customWidth="1"/>
    <col min="5" max="14" width="10.00390625" style="0" customWidth="1"/>
    <col min="15" max="28" width="9.28125" style="0" bestFit="1" customWidth="1"/>
  </cols>
  <sheetData>
    <row r="1" spans="1:13" ht="12.75">
      <c r="A1" s="118"/>
      <c r="B1" s="289" t="s">
        <v>715</v>
      </c>
      <c r="C1" s="289"/>
      <c r="D1" s="122" t="s">
        <v>716</v>
      </c>
      <c r="E1" s="312" t="s">
        <v>715</v>
      </c>
      <c r="F1" s="313"/>
      <c r="G1" s="312" t="s">
        <v>716</v>
      </c>
      <c r="H1" s="314"/>
      <c r="I1" s="314"/>
      <c r="J1" s="314"/>
      <c r="K1" s="314"/>
      <c r="L1" s="314"/>
      <c r="M1" s="313"/>
    </row>
    <row r="2" spans="1:14" ht="12.75">
      <c r="A2" s="122" t="s">
        <v>708</v>
      </c>
      <c r="E2" s="122" t="s">
        <v>690</v>
      </c>
      <c r="F2" s="122" t="s">
        <v>691</v>
      </c>
      <c r="G2" s="122" t="s">
        <v>692</v>
      </c>
      <c r="H2" s="122" t="s">
        <v>693</v>
      </c>
      <c r="I2" s="122" t="s">
        <v>694</v>
      </c>
      <c r="J2" s="122" t="s">
        <v>695</v>
      </c>
      <c r="K2" s="122" t="s">
        <v>696</v>
      </c>
      <c r="L2" s="122" t="s">
        <v>705</v>
      </c>
      <c r="M2" s="122" t="s">
        <v>706</v>
      </c>
      <c r="N2" s="122" t="s">
        <v>839</v>
      </c>
    </row>
    <row r="3" spans="1:14" ht="12.75">
      <c r="A3" s="118" t="s">
        <v>689</v>
      </c>
      <c r="E3" s="242"/>
      <c r="F3" s="242"/>
      <c r="G3" s="242"/>
      <c r="H3" s="242"/>
      <c r="I3" s="242"/>
      <c r="J3" s="242"/>
      <c r="K3" s="242"/>
      <c r="L3" s="242"/>
      <c r="M3" s="242"/>
      <c r="N3" s="242"/>
    </row>
    <row r="4" spans="1:14" ht="12.75">
      <c r="A4" s="118" t="s">
        <v>697</v>
      </c>
      <c r="E4" s="242"/>
      <c r="F4" s="242"/>
      <c r="G4" s="242"/>
      <c r="H4" s="242"/>
      <c r="I4" s="242"/>
      <c r="J4" s="242"/>
      <c r="K4" s="242"/>
      <c r="L4" s="242"/>
      <c r="M4" s="242"/>
      <c r="N4" s="242"/>
    </row>
    <row r="5" spans="1:14" ht="12.75">
      <c r="A5" s="118" t="s">
        <v>698</v>
      </c>
      <c r="E5" s="242"/>
      <c r="F5" s="242"/>
      <c r="G5" s="242"/>
      <c r="H5" s="242"/>
      <c r="I5" s="242"/>
      <c r="J5" s="242"/>
      <c r="K5" s="242"/>
      <c r="L5" s="242"/>
      <c r="M5" s="242"/>
      <c r="N5" s="242"/>
    </row>
    <row r="6" spans="1:14" ht="12.75">
      <c r="A6" s="118" t="s">
        <v>699</v>
      </c>
      <c r="E6" s="242"/>
      <c r="F6" s="242"/>
      <c r="G6" s="242"/>
      <c r="H6" s="242"/>
      <c r="I6" s="242"/>
      <c r="J6" s="242"/>
      <c r="K6" s="242"/>
      <c r="L6" s="242"/>
      <c r="M6" s="242"/>
      <c r="N6" s="242"/>
    </row>
    <row r="7" spans="1:14" ht="12.75">
      <c r="A7" s="118" t="s">
        <v>700</v>
      </c>
      <c r="E7" s="242"/>
      <c r="F7" s="242"/>
      <c r="G7" s="242"/>
      <c r="H7" s="242"/>
      <c r="I7" s="242"/>
      <c r="J7" s="242"/>
      <c r="K7" s="242"/>
      <c r="L7" s="242"/>
      <c r="M7" s="242"/>
      <c r="N7" s="242"/>
    </row>
    <row r="8" spans="1:14" ht="12.75">
      <c r="A8" s="118" t="s">
        <v>651</v>
      </c>
      <c r="E8" s="242"/>
      <c r="F8" s="242"/>
      <c r="G8" s="242"/>
      <c r="H8" s="242"/>
      <c r="I8" s="242"/>
      <c r="J8" s="242"/>
      <c r="K8" s="242"/>
      <c r="L8" s="242"/>
      <c r="M8" s="242"/>
      <c r="N8" s="242"/>
    </row>
    <row r="9" spans="1:14" ht="12.75">
      <c r="A9" s="218" t="s">
        <v>712</v>
      </c>
      <c r="E9" s="242"/>
      <c r="F9" s="242"/>
      <c r="G9" s="242"/>
      <c r="H9" s="242"/>
      <c r="I9" s="242"/>
      <c r="J9" s="242"/>
      <c r="K9" s="242"/>
      <c r="L9" s="242"/>
      <c r="M9" s="242"/>
      <c r="N9" s="242"/>
    </row>
    <row r="10" spans="1:14" ht="12.75">
      <c r="A10" s="220" t="s">
        <v>652</v>
      </c>
      <c r="E10" s="242"/>
      <c r="F10" s="242"/>
      <c r="G10" s="242">
        <f>(SUM(G42:G43)*($E$18^G$17))/1000</f>
        <v>51.32023</v>
      </c>
      <c r="H10" s="242">
        <f>(SUM(H42:H43)*($E$18^H$17))/1000</f>
        <v>228.70423979999995</v>
      </c>
      <c r="I10" s="242">
        <f>(SUM(I42:I43)*($E$18^I$17))/1000</f>
        <v>77.73424554374999</v>
      </c>
      <c r="J10" s="242"/>
      <c r="K10" s="242"/>
      <c r="L10" s="242"/>
      <c r="M10" s="242"/>
      <c r="N10" s="242">
        <f>SUM(E10:M10)</f>
        <v>357.75871534374994</v>
      </c>
    </row>
    <row r="11" spans="1:14" ht="12.75">
      <c r="A11" s="220" t="s">
        <v>653</v>
      </c>
      <c r="E11" s="242"/>
      <c r="F11" s="242"/>
      <c r="G11" s="242">
        <f aca="true" t="shared" si="0" ref="G11:L11">(SUM(G44:G48)*($E$18^G$17))/1000</f>
        <v>123.18516499999998</v>
      </c>
      <c r="H11" s="242">
        <f t="shared" si="0"/>
        <v>443.1226902750001</v>
      </c>
      <c r="I11" s="242">
        <f t="shared" si="0"/>
        <v>4284.1799654040005</v>
      </c>
      <c r="J11" s="242">
        <f t="shared" si="0"/>
        <v>4264.3807703409475</v>
      </c>
      <c r="K11" s="242">
        <f t="shared" si="0"/>
        <v>486.0921200923506</v>
      </c>
      <c r="L11" s="242">
        <f t="shared" si="0"/>
        <v>11.886364546913919</v>
      </c>
      <c r="M11" s="242"/>
      <c r="N11" s="242">
        <f>SUM(E11:M11)</f>
        <v>9612.847075659214</v>
      </c>
    </row>
    <row r="12" spans="1:14" ht="12.75">
      <c r="A12" s="243" t="s">
        <v>654</v>
      </c>
      <c r="E12" s="242"/>
      <c r="F12" s="242"/>
      <c r="G12" s="242">
        <f aca="true" t="shared" si="1" ref="G12:L12">SUM(G10:G11)</f>
        <v>174.505395</v>
      </c>
      <c r="H12" s="242">
        <f t="shared" si="1"/>
        <v>671.8269300750001</v>
      </c>
      <c r="I12" s="242">
        <f t="shared" si="1"/>
        <v>4361.914210947751</v>
      </c>
      <c r="J12" s="242">
        <f t="shared" si="1"/>
        <v>4264.3807703409475</v>
      </c>
      <c r="K12" s="242">
        <f t="shared" si="1"/>
        <v>486.0921200923506</v>
      </c>
      <c r="L12" s="242">
        <f t="shared" si="1"/>
        <v>11.886364546913919</v>
      </c>
      <c r="M12" s="242"/>
      <c r="N12" s="242">
        <f>SUM(N10:N11)</f>
        <v>9970.605791002965</v>
      </c>
    </row>
    <row r="13" spans="1:14" ht="12.75">
      <c r="A13" s="220" t="s">
        <v>655</v>
      </c>
      <c r="E13" s="242"/>
      <c r="F13" s="242"/>
      <c r="G13" s="242">
        <f>G12*0.1</f>
        <v>17.4505395</v>
      </c>
      <c r="H13" s="242">
        <f>H12*0.1</f>
        <v>67.1826930075</v>
      </c>
      <c r="I13" s="242">
        <f>I12*0.3</f>
        <v>1308.574263284325</v>
      </c>
      <c r="J13" s="242">
        <f>J12*0.3</f>
        <v>1279.314231102284</v>
      </c>
      <c r="K13" s="242">
        <f>K12*0.3</f>
        <v>145.82763602770518</v>
      </c>
      <c r="L13" s="242">
        <f>L12*0.3</f>
        <v>3.5659093640741757</v>
      </c>
      <c r="M13" s="242"/>
      <c r="N13" s="242">
        <f>SUM(E13:M13)</f>
        <v>2821.9152722858885</v>
      </c>
    </row>
    <row r="14" spans="1:14" ht="12.75">
      <c r="A14" s="218" t="s">
        <v>713</v>
      </c>
      <c r="E14" s="242">
        <f>SUM(E10:E13)</f>
        <v>0</v>
      </c>
      <c r="F14" s="242">
        <f>SUM(F10:F13)</f>
        <v>0</v>
      </c>
      <c r="G14" s="242">
        <f aca="true" t="shared" si="2" ref="G14:L14">G12+G13</f>
        <v>191.95593449999998</v>
      </c>
      <c r="H14" s="242">
        <f t="shared" si="2"/>
        <v>739.0096230825001</v>
      </c>
      <c r="I14" s="242">
        <f t="shared" si="2"/>
        <v>5670.4884742320755</v>
      </c>
      <c r="J14" s="242">
        <f t="shared" si="2"/>
        <v>5543.695001443231</v>
      </c>
      <c r="K14" s="242">
        <f t="shared" si="2"/>
        <v>631.9197561200558</v>
      </c>
      <c r="L14" s="242">
        <f t="shared" si="2"/>
        <v>15.452273910988094</v>
      </c>
      <c r="M14" s="242">
        <f>SUM(M10:M13)</f>
        <v>0</v>
      </c>
      <c r="N14" s="242">
        <f>SUM(E14:M14)</f>
        <v>12792.521063288852</v>
      </c>
    </row>
    <row r="15" spans="1:14" ht="12.75">
      <c r="A15" s="218" t="s">
        <v>714</v>
      </c>
      <c r="E15" s="242"/>
      <c r="F15" s="242"/>
      <c r="G15" s="242"/>
      <c r="H15" s="242"/>
      <c r="I15" s="242"/>
      <c r="J15" s="242"/>
      <c r="K15" s="242"/>
      <c r="L15" s="242"/>
      <c r="M15" s="242"/>
      <c r="N15" s="242"/>
    </row>
    <row r="16" ht="12.75">
      <c r="A16" s="105"/>
    </row>
    <row r="17" spans="1:13" ht="12.75">
      <c r="A17" t="s">
        <v>707</v>
      </c>
      <c r="H17">
        <v>1</v>
      </c>
      <c r="I17">
        <v>2</v>
      </c>
      <c r="J17">
        <v>3</v>
      </c>
      <c r="K17">
        <v>4</v>
      </c>
      <c r="L17">
        <v>5</v>
      </c>
      <c r="M17">
        <v>6</v>
      </c>
    </row>
    <row r="18" spans="1:5" ht="12.75">
      <c r="A18" t="s">
        <v>701</v>
      </c>
      <c r="E18">
        <v>1.035</v>
      </c>
    </row>
    <row r="19" ht="12.75">
      <c r="A19" s="244" t="s">
        <v>656</v>
      </c>
    </row>
    <row r="21" ht="12.75">
      <c r="A21" t="s">
        <v>502</v>
      </c>
    </row>
    <row r="22" spans="1:13" ht="12.75">
      <c r="A22" s="118"/>
      <c r="B22" s="289" t="s">
        <v>715</v>
      </c>
      <c r="C22" s="289"/>
      <c r="D22" s="122" t="s">
        <v>716</v>
      </c>
      <c r="E22" s="312" t="s">
        <v>502</v>
      </c>
      <c r="F22" s="314"/>
      <c r="G22" s="284"/>
      <c r="H22" s="284"/>
      <c r="I22" s="284"/>
      <c r="J22" s="284"/>
      <c r="K22" s="284"/>
      <c r="L22" s="284"/>
      <c r="M22" s="285"/>
    </row>
    <row r="23" spans="1:14" ht="12.75">
      <c r="A23" s="122" t="s">
        <v>708</v>
      </c>
      <c r="E23" s="122" t="s">
        <v>690</v>
      </c>
      <c r="F23" s="122" t="s">
        <v>691</v>
      </c>
      <c r="G23" s="122" t="s">
        <v>692</v>
      </c>
      <c r="H23" s="122" t="s">
        <v>693</v>
      </c>
      <c r="I23" s="122" t="s">
        <v>694</v>
      </c>
      <c r="J23" s="122" t="s">
        <v>695</v>
      </c>
      <c r="K23" s="122" t="s">
        <v>696</v>
      </c>
      <c r="L23" s="122" t="s">
        <v>705</v>
      </c>
      <c r="M23" s="122" t="s">
        <v>706</v>
      </c>
      <c r="N23" s="122" t="s">
        <v>839</v>
      </c>
    </row>
    <row r="24" spans="1:14" ht="12.75">
      <c r="A24" s="118" t="s">
        <v>689</v>
      </c>
      <c r="E24" s="242"/>
      <c r="F24" s="242"/>
      <c r="G24" s="242"/>
      <c r="H24" s="242"/>
      <c r="I24" s="242"/>
      <c r="J24" s="242"/>
      <c r="K24" s="242"/>
      <c r="L24" s="242"/>
      <c r="M24" s="242"/>
      <c r="N24" s="242"/>
    </row>
    <row r="25" spans="1:14" ht="12.75">
      <c r="A25" s="118" t="s">
        <v>697</v>
      </c>
      <c r="E25" s="242"/>
      <c r="F25" s="242"/>
      <c r="G25" s="242"/>
      <c r="H25" s="242"/>
      <c r="I25" s="242"/>
      <c r="J25" s="242"/>
      <c r="K25" s="242"/>
      <c r="L25" s="242"/>
      <c r="M25" s="242"/>
      <c r="N25" s="242"/>
    </row>
    <row r="26" spans="1:14" ht="12.75">
      <c r="A26" s="118" t="s">
        <v>698</v>
      </c>
      <c r="E26" s="242"/>
      <c r="F26" s="242"/>
      <c r="G26" s="242"/>
      <c r="H26" s="242"/>
      <c r="I26" s="242"/>
      <c r="J26" s="242"/>
      <c r="K26" s="242"/>
      <c r="L26" s="242"/>
      <c r="M26" s="242"/>
      <c r="N26" s="242"/>
    </row>
    <row r="27" spans="1:14" ht="12.75">
      <c r="A27" s="118" t="s">
        <v>699</v>
      </c>
      <c r="E27" s="242"/>
      <c r="F27" s="242"/>
      <c r="G27" s="242"/>
      <c r="H27" s="242"/>
      <c r="I27" s="242"/>
      <c r="J27" s="242"/>
      <c r="K27" s="242"/>
      <c r="L27" s="242"/>
      <c r="M27" s="242"/>
      <c r="N27" s="242"/>
    </row>
    <row r="28" spans="1:14" ht="12.75">
      <c r="A28" s="118" t="s">
        <v>700</v>
      </c>
      <c r="E28" s="242"/>
      <c r="F28" s="242"/>
      <c r="G28" s="242"/>
      <c r="H28" s="242"/>
      <c r="I28" s="242"/>
      <c r="J28" s="242"/>
      <c r="K28" s="242"/>
      <c r="L28" s="242"/>
      <c r="M28" s="242"/>
      <c r="N28" s="242"/>
    </row>
    <row r="29" spans="1:14" ht="12.75">
      <c r="A29" s="118" t="s">
        <v>651</v>
      </c>
      <c r="E29" s="242"/>
      <c r="F29" s="242"/>
      <c r="G29" s="242"/>
      <c r="H29" s="242"/>
      <c r="I29" s="242"/>
      <c r="J29" s="242"/>
      <c r="K29" s="242"/>
      <c r="L29" s="242"/>
      <c r="M29" s="242"/>
      <c r="N29" s="242"/>
    </row>
    <row r="30" spans="1:14" ht="12.75">
      <c r="A30" s="218" t="s">
        <v>712</v>
      </c>
      <c r="E30" s="242"/>
      <c r="F30" s="242"/>
      <c r="G30" s="242"/>
      <c r="H30" s="242"/>
      <c r="I30" s="242"/>
      <c r="J30" s="242"/>
      <c r="K30" s="242"/>
      <c r="L30" s="242"/>
      <c r="M30" s="242"/>
      <c r="N30" s="242"/>
    </row>
    <row r="31" spans="1:14" ht="12.75">
      <c r="A31" s="220" t="s">
        <v>652</v>
      </c>
      <c r="E31" s="242"/>
      <c r="F31" s="242"/>
      <c r="G31" s="242">
        <f>SUM(G70:H86)</f>
        <v>832.125</v>
      </c>
      <c r="H31" s="242">
        <f>SUM(I70:L86)</f>
        <v>3575.6150000000002</v>
      </c>
      <c r="I31" s="242">
        <f>SUM(M70:P86)</f>
        <v>1222.29</v>
      </c>
      <c r="J31" s="242"/>
      <c r="K31" s="242"/>
      <c r="L31" s="242"/>
      <c r="M31" s="242"/>
      <c r="N31" s="242">
        <f>SUM(E31:M31)</f>
        <v>5630.03</v>
      </c>
    </row>
    <row r="32" spans="1:14" ht="12.75">
      <c r="A32" s="220" t="s">
        <v>653</v>
      </c>
      <c r="E32" s="242"/>
      <c r="F32" s="242"/>
      <c r="G32" s="242">
        <f>SUM(G88:H132)</f>
        <v>1922.500000000001</v>
      </c>
      <c r="H32" s="242">
        <f>SUM(I88:L132)</f>
        <v>6828.5599999999995</v>
      </c>
      <c r="I32" s="242">
        <f>SUM(M88:P132)</f>
        <v>10323.74</v>
      </c>
      <c r="J32" s="242">
        <f>SUM(Q88:T132)</f>
        <v>8747.909999999993</v>
      </c>
      <c r="K32" s="242">
        <f>SUM(U88:X132)</f>
        <v>5711.39</v>
      </c>
      <c r="L32" s="242">
        <f>SUM(Y88:AB132)</f>
        <v>176</v>
      </c>
      <c r="M32" s="242"/>
      <c r="N32" s="242">
        <f>SUM(E32:M32)</f>
        <v>33710.1</v>
      </c>
    </row>
    <row r="33" spans="1:14" ht="12.75">
      <c r="A33" s="220"/>
      <c r="E33" s="242"/>
      <c r="F33" s="242"/>
      <c r="G33" s="242"/>
      <c r="H33" s="242"/>
      <c r="I33" s="242"/>
      <c r="J33" s="242"/>
      <c r="K33" s="242"/>
      <c r="L33" s="242"/>
      <c r="M33" s="242"/>
      <c r="N33" s="242"/>
    </row>
    <row r="34" spans="1:14" ht="12.75">
      <c r="A34" s="220"/>
      <c r="E34" s="242"/>
      <c r="F34" s="242"/>
      <c r="G34" s="242"/>
      <c r="H34" s="242"/>
      <c r="I34" s="242"/>
      <c r="J34" s="242"/>
      <c r="K34" s="242"/>
      <c r="L34" s="242"/>
      <c r="M34" s="242"/>
      <c r="N34" s="242">
        <f>SUM(E34:M34)</f>
        <v>0</v>
      </c>
    </row>
    <row r="35" spans="1:14" ht="12.75">
      <c r="A35" s="218" t="s">
        <v>713</v>
      </c>
      <c r="E35" s="242">
        <f aca="true" t="shared" si="3" ref="E35:M35">SUM(E31:E34)</f>
        <v>0</v>
      </c>
      <c r="F35" s="242">
        <f t="shared" si="3"/>
        <v>0</v>
      </c>
      <c r="G35" s="242">
        <f t="shared" si="3"/>
        <v>2754.625000000001</v>
      </c>
      <c r="H35" s="242">
        <f t="shared" si="3"/>
        <v>10404.175</v>
      </c>
      <c r="I35" s="242">
        <f t="shared" si="3"/>
        <v>11546.029999999999</v>
      </c>
      <c r="J35" s="242">
        <f t="shared" si="3"/>
        <v>8747.909999999993</v>
      </c>
      <c r="K35" s="242">
        <f t="shared" si="3"/>
        <v>5711.39</v>
      </c>
      <c r="L35" s="242">
        <f t="shared" si="3"/>
        <v>176</v>
      </c>
      <c r="M35" s="242">
        <f t="shared" si="3"/>
        <v>0</v>
      </c>
      <c r="N35" s="242">
        <f>SUM(E35:M35)</f>
        <v>39340.12999999999</v>
      </c>
    </row>
    <row r="36" spans="1:14" ht="12.75">
      <c r="A36" s="218" t="s">
        <v>714</v>
      </c>
      <c r="E36" s="242"/>
      <c r="F36" s="242"/>
      <c r="G36" s="242"/>
      <c r="H36" s="242"/>
      <c r="I36" s="242"/>
      <c r="J36" s="242"/>
      <c r="K36" s="242"/>
      <c r="L36" s="242"/>
      <c r="M36" s="242"/>
      <c r="N36" s="242"/>
    </row>
    <row r="39" s="134" customFormat="1" ht="12.75">
      <c r="A39" s="134" t="s">
        <v>657</v>
      </c>
    </row>
    <row r="40" s="134" customFormat="1" ht="12.75">
      <c r="A40" s="134" t="s">
        <v>55</v>
      </c>
    </row>
    <row r="41" spans="1:14" s="134" customFormat="1" ht="12.75">
      <c r="A41" s="245" t="s">
        <v>56</v>
      </c>
      <c r="E41" s="246" t="s">
        <v>690</v>
      </c>
      <c r="F41" s="246" t="s">
        <v>691</v>
      </c>
      <c r="G41" s="246" t="s">
        <v>692</v>
      </c>
      <c r="H41" s="246" t="s">
        <v>693</v>
      </c>
      <c r="I41" s="246" t="s">
        <v>694</v>
      </c>
      <c r="J41" s="246" t="s">
        <v>695</v>
      </c>
      <c r="K41" s="246" t="s">
        <v>696</v>
      </c>
      <c r="L41" s="246" t="s">
        <v>705</v>
      </c>
      <c r="M41" s="246" t="s">
        <v>706</v>
      </c>
      <c r="N41" s="246" t="s">
        <v>839</v>
      </c>
    </row>
    <row r="42" spans="1:14" s="134" customFormat="1" ht="12.75">
      <c r="A42" s="247" t="s">
        <v>57</v>
      </c>
      <c r="E42" s="248"/>
      <c r="F42" s="248"/>
      <c r="G42" s="248">
        <f>SUM(G141:H148)</f>
        <v>51320.23</v>
      </c>
      <c r="H42" s="248">
        <f>SUM(I141:L148)</f>
        <v>102478.76</v>
      </c>
      <c r="I42" s="248"/>
      <c r="J42" s="248"/>
      <c r="K42" s="248"/>
      <c r="L42" s="248"/>
      <c r="M42" s="248"/>
      <c r="N42" s="248">
        <f>SUM(E42:M42)</f>
        <v>153798.99</v>
      </c>
    </row>
    <row r="43" spans="1:14" s="134" customFormat="1" ht="12.75">
      <c r="A43" s="247" t="s">
        <v>58</v>
      </c>
      <c r="E43" s="248"/>
      <c r="F43" s="248"/>
      <c r="G43" s="248"/>
      <c r="H43" s="248">
        <f>SUM(I150:L157)</f>
        <v>118491.51999999999</v>
      </c>
      <c r="I43" s="248">
        <f>SUM(M150:P157)</f>
        <v>72565.75</v>
      </c>
      <c r="J43" s="248"/>
      <c r="K43" s="248"/>
      <c r="L43" s="248"/>
      <c r="M43" s="248"/>
      <c r="N43" s="248">
        <f>SUM(E43:M43)</f>
        <v>191057.27</v>
      </c>
    </row>
    <row r="44" spans="1:14" s="134" customFormat="1" ht="12.75">
      <c r="A44" s="247" t="s">
        <v>59</v>
      </c>
      <c r="E44" s="248"/>
      <c r="F44" s="248"/>
      <c r="G44" s="248">
        <f>SUM(G159:H172)</f>
        <v>123185.16499999998</v>
      </c>
      <c r="H44" s="248">
        <f>SUM(I159:L172)</f>
        <v>272852.07500000007</v>
      </c>
      <c r="I44" s="248"/>
      <c r="J44" s="248"/>
      <c r="K44" s="248"/>
      <c r="L44" s="248"/>
      <c r="M44" s="248"/>
      <c r="N44" s="248">
        <f>SUM(E44:M44)</f>
        <v>396037.24000000005</v>
      </c>
    </row>
    <row r="45" spans="1:14" s="134" customFormat="1" ht="12.75">
      <c r="A45" s="247" t="s">
        <v>698</v>
      </c>
      <c r="E45" s="248"/>
      <c r="F45" s="248"/>
      <c r="G45" s="248"/>
      <c r="H45" s="248">
        <f>SUM(I174:L187)</f>
        <v>155285.79</v>
      </c>
      <c r="I45" s="248">
        <f>SUM(M174:P187)</f>
        <v>465165.7900000002</v>
      </c>
      <c r="J45" s="248"/>
      <c r="K45" s="248"/>
      <c r="L45" s="248"/>
      <c r="M45" s="248"/>
      <c r="N45" s="248">
        <f>SUM(E45:M45)</f>
        <v>620451.5800000002</v>
      </c>
    </row>
    <row r="46" spans="1:14" s="134" customFormat="1" ht="12.75">
      <c r="A46" s="247" t="s">
        <v>699</v>
      </c>
      <c r="E46" s="249"/>
      <c r="F46" s="250"/>
      <c r="G46" s="250"/>
      <c r="H46" s="250"/>
      <c r="I46" s="250"/>
      <c r="J46" s="250"/>
      <c r="K46" s="250"/>
      <c r="L46" s="250"/>
      <c r="M46" s="250"/>
      <c r="N46" s="251"/>
    </row>
    <row r="47" spans="1:14" s="134" customFormat="1" ht="12.75">
      <c r="A47" s="252" t="s">
        <v>843</v>
      </c>
      <c r="E47" s="248"/>
      <c r="F47" s="248"/>
      <c r="G47" s="248"/>
      <c r="H47" s="248"/>
      <c r="I47" s="248">
        <f>SUM(M190:P203)</f>
        <v>158950.05</v>
      </c>
      <c r="J47" s="248">
        <f>SUM(Q190:T203)</f>
        <v>471015.12999999983</v>
      </c>
      <c r="K47" s="248">
        <f>SUM(U190:X203)</f>
        <v>341101.2</v>
      </c>
      <c r="L47" s="248">
        <f>SUM(Y190:AB203)</f>
        <v>10008</v>
      </c>
      <c r="M47" s="248"/>
      <c r="N47" s="248">
        <f aca="true" t="shared" si="4" ref="N47:N52">SUM(E47:M47)</f>
        <v>981074.3799999999</v>
      </c>
    </row>
    <row r="48" spans="1:14" s="134" customFormat="1" ht="12.75">
      <c r="A48" s="252" t="s">
        <v>60</v>
      </c>
      <c r="E48" s="248"/>
      <c r="F48" s="248"/>
      <c r="G48" s="248"/>
      <c r="H48" s="248"/>
      <c r="I48" s="248">
        <f>6750424/2</f>
        <v>3375212</v>
      </c>
      <c r="J48" s="248">
        <f>I48</f>
        <v>3375212</v>
      </c>
      <c r="K48" s="248">
        <v>82500</v>
      </c>
      <c r="L48" s="248"/>
      <c r="M48" s="248"/>
      <c r="N48" s="248">
        <f t="shared" si="4"/>
        <v>6832924</v>
      </c>
    </row>
    <row r="49" spans="1:14" s="134" customFormat="1" ht="12.75">
      <c r="A49" s="253" t="s">
        <v>699</v>
      </c>
      <c r="E49" s="248"/>
      <c r="F49" s="248"/>
      <c r="G49" s="248">
        <f>SUM(G47:G48)</f>
        <v>0</v>
      </c>
      <c r="H49" s="248">
        <f aca="true" t="shared" si="5" ref="H49:M49">SUM(H47:H48)</f>
        <v>0</v>
      </c>
      <c r="I49" s="248">
        <f t="shared" si="5"/>
        <v>3534162.05</v>
      </c>
      <c r="J49" s="248">
        <f t="shared" si="5"/>
        <v>3846227.13</v>
      </c>
      <c r="K49" s="248">
        <f t="shared" si="5"/>
        <v>423601.2</v>
      </c>
      <c r="L49" s="248">
        <f t="shared" si="5"/>
        <v>10008</v>
      </c>
      <c r="M49" s="248">
        <f t="shared" si="5"/>
        <v>0</v>
      </c>
      <c r="N49" s="248">
        <f t="shared" si="4"/>
        <v>7813998.38</v>
      </c>
    </row>
    <row r="50" spans="1:14" s="134" customFormat="1" ht="12.75">
      <c r="A50" s="254" t="s">
        <v>839</v>
      </c>
      <c r="E50" s="248"/>
      <c r="F50" s="248"/>
      <c r="G50" s="248">
        <f>SUM(G42:G45)+G49</f>
        <v>174505.395</v>
      </c>
      <c r="H50" s="248">
        <f aca="true" t="shared" si="6" ref="H50:M50">SUM(H42:H45)+H49</f>
        <v>649108.145</v>
      </c>
      <c r="I50" s="248">
        <f t="shared" si="6"/>
        <v>4071893.59</v>
      </c>
      <c r="J50" s="248">
        <f t="shared" si="6"/>
        <v>3846227.13</v>
      </c>
      <c r="K50" s="248">
        <f t="shared" si="6"/>
        <v>423601.2</v>
      </c>
      <c r="L50" s="248">
        <f t="shared" si="6"/>
        <v>10008</v>
      </c>
      <c r="M50" s="248">
        <f t="shared" si="6"/>
        <v>0</v>
      </c>
      <c r="N50" s="248">
        <f t="shared" si="4"/>
        <v>9175343.459999999</v>
      </c>
    </row>
    <row r="51" spans="1:14" s="134" customFormat="1" ht="13.5" thickBot="1">
      <c r="A51" s="255" t="s">
        <v>651</v>
      </c>
      <c r="E51" s="256"/>
      <c r="F51" s="256"/>
      <c r="G51" s="256">
        <f>G50*0.1</f>
        <v>17450.5395</v>
      </c>
      <c r="H51" s="256">
        <f>H50*0.1</f>
        <v>64910.81450000001</v>
      </c>
      <c r="I51" s="256">
        <f>I50*0.3</f>
        <v>1221568.0769999998</v>
      </c>
      <c r="J51" s="256">
        <f>J50*0.3</f>
        <v>1153868.139</v>
      </c>
      <c r="K51" s="256">
        <f>K50*0.3</f>
        <v>127080.36</v>
      </c>
      <c r="L51" s="256">
        <f>L50*0.3</f>
        <v>3002.4</v>
      </c>
      <c r="M51" s="256"/>
      <c r="N51" s="256">
        <f t="shared" si="4"/>
        <v>2587880.3299999996</v>
      </c>
    </row>
    <row r="52" spans="1:14" s="134" customFormat="1" ht="13.5" thickTop="1">
      <c r="A52" s="257" t="s">
        <v>61</v>
      </c>
      <c r="E52" s="258"/>
      <c r="F52" s="258"/>
      <c r="G52" s="258">
        <f>G50+G51</f>
        <v>191955.93449999997</v>
      </c>
      <c r="H52" s="258">
        <f aca="true" t="shared" si="7" ref="H52:M52">H50+H51</f>
        <v>714018.9595</v>
      </c>
      <c r="I52" s="258">
        <f t="shared" si="7"/>
        <v>5293461.666999999</v>
      </c>
      <c r="J52" s="258">
        <f t="shared" si="7"/>
        <v>5000095.268999999</v>
      </c>
      <c r="K52" s="258">
        <f t="shared" si="7"/>
        <v>550681.56</v>
      </c>
      <c r="L52" s="258">
        <f t="shared" si="7"/>
        <v>13010.4</v>
      </c>
      <c r="M52" s="258">
        <f t="shared" si="7"/>
        <v>0</v>
      </c>
      <c r="N52" s="258">
        <f t="shared" si="4"/>
        <v>11763223.79</v>
      </c>
    </row>
    <row r="53" s="134" customFormat="1" ht="12.75"/>
    <row r="54" spans="1:13" s="134" customFormat="1" ht="12.75">
      <c r="A54" s="134" t="s">
        <v>62</v>
      </c>
      <c r="G54" s="134" t="s">
        <v>692</v>
      </c>
      <c r="H54" s="134" t="s">
        <v>693</v>
      </c>
      <c r="I54" s="134" t="s">
        <v>694</v>
      </c>
      <c r="J54" s="134" t="s">
        <v>695</v>
      </c>
      <c r="K54" s="134" t="s">
        <v>696</v>
      </c>
      <c r="L54" s="134" t="s">
        <v>705</v>
      </c>
      <c r="M54" s="134" t="s">
        <v>706</v>
      </c>
    </row>
    <row r="55" spans="1:13" s="134" customFormat="1" ht="12.75">
      <c r="A55" s="259" t="s">
        <v>63</v>
      </c>
      <c r="E55" s="260"/>
      <c r="F55" s="260"/>
      <c r="G55" s="260"/>
      <c r="H55" s="261">
        <v>40227</v>
      </c>
      <c r="I55" s="260"/>
      <c r="J55" s="260"/>
      <c r="K55" s="260"/>
      <c r="L55" s="260"/>
      <c r="M55" s="260"/>
    </row>
    <row r="56" spans="1:13" s="134" customFormat="1" ht="12.75">
      <c r="A56" s="259" t="s">
        <v>64</v>
      </c>
      <c r="E56" s="260"/>
      <c r="F56" s="260"/>
      <c r="G56" s="260"/>
      <c r="H56" s="260"/>
      <c r="I56" s="261">
        <v>40567</v>
      </c>
      <c r="J56" s="260"/>
      <c r="K56" s="260"/>
      <c r="L56" s="260"/>
      <c r="M56" s="260"/>
    </row>
    <row r="57" spans="1:13" s="134" customFormat="1" ht="12.75">
      <c r="A57" s="259" t="s">
        <v>65</v>
      </c>
      <c r="E57" s="260"/>
      <c r="F57" s="260"/>
      <c r="G57" s="260"/>
      <c r="H57" s="261">
        <v>40258</v>
      </c>
      <c r="I57" s="260"/>
      <c r="J57" s="260"/>
      <c r="K57" s="260"/>
      <c r="L57" s="260"/>
      <c r="M57" s="260"/>
    </row>
    <row r="58" spans="1:13" s="134" customFormat="1" ht="12.75">
      <c r="A58" s="259" t="s">
        <v>66</v>
      </c>
      <c r="E58" s="260"/>
      <c r="F58" s="260"/>
      <c r="G58" s="260"/>
      <c r="H58" s="260"/>
      <c r="I58" s="261">
        <v>40711</v>
      </c>
      <c r="J58" s="260"/>
      <c r="K58" s="260"/>
      <c r="L58" s="260"/>
      <c r="M58" s="260"/>
    </row>
    <row r="59" spans="1:13" s="134" customFormat="1" ht="12.75">
      <c r="A59" s="259" t="s">
        <v>67</v>
      </c>
      <c r="E59" s="260"/>
      <c r="F59" s="260"/>
      <c r="G59" s="260"/>
      <c r="H59" s="260"/>
      <c r="I59" s="260"/>
      <c r="J59" s="261"/>
      <c r="K59" s="261">
        <v>41424</v>
      </c>
      <c r="L59" s="260"/>
      <c r="M59" s="260"/>
    </row>
    <row r="60" spans="1:13" s="134" customFormat="1" ht="12.75">
      <c r="A60" s="259" t="s">
        <v>68</v>
      </c>
      <c r="E60" s="260"/>
      <c r="F60" s="260"/>
      <c r="G60" s="260"/>
      <c r="H60" s="260"/>
      <c r="I60" s="260"/>
      <c r="J60" s="261"/>
      <c r="K60" s="261"/>
      <c r="L60" s="261">
        <v>41526</v>
      </c>
      <c r="M60" s="260"/>
    </row>
    <row r="61" spans="1:13" s="134" customFormat="1" ht="12.75">
      <c r="A61" s="259"/>
      <c r="E61" s="262"/>
      <c r="F61" s="262"/>
      <c r="G61" s="262"/>
      <c r="H61" s="262"/>
      <c r="I61" s="262"/>
      <c r="J61" s="263"/>
      <c r="K61" s="263"/>
      <c r="L61" s="262"/>
      <c r="M61" s="262"/>
    </row>
    <row r="62" spans="1:13" s="134" customFormat="1" ht="12.75">
      <c r="A62" s="264" t="s">
        <v>69</v>
      </c>
      <c r="E62" s="262"/>
      <c r="F62" s="262"/>
      <c r="G62" s="262"/>
      <c r="H62" s="262"/>
      <c r="I62" s="262"/>
      <c r="J62" s="263"/>
      <c r="K62" s="263"/>
      <c r="L62" s="262"/>
      <c r="M62" s="262"/>
    </row>
    <row r="63" spans="1:13" s="134" customFormat="1" ht="12.75">
      <c r="A63" s="259" t="s">
        <v>70</v>
      </c>
      <c r="E63" s="265"/>
      <c r="F63" s="265">
        <f>107026+10000</f>
        <v>117026</v>
      </c>
      <c r="G63" s="265"/>
      <c r="H63" s="265"/>
      <c r="I63" s="265"/>
      <c r="J63" s="265"/>
      <c r="K63" s="265"/>
      <c r="L63" s="265"/>
      <c r="M63" s="262"/>
    </row>
    <row r="64" spans="1:13" s="134" customFormat="1" ht="12.75">
      <c r="A64" s="259" t="s">
        <v>71</v>
      </c>
      <c r="E64" s="265"/>
      <c r="F64" s="265">
        <f>423105+8000</f>
        <v>431105</v>
      </c>
      <c r="G64" s="265"/>
      <c r="H64" s="265"/>
      <c r="I64" s="265"/>
      <c r="J64" s="265"/>
      <c r="K64" s="265"/>
      <c r="L64" s="265"/>
      <c r="M64" s="262"/>
    </row>
    <row r="65" s="134" customFormat="1" ht="12.75"/>
    <row r="66" spans="7:32" s="134" customFormat="1" ht="12.75">
      <c r="G66" s="266" t="s">
        <v>692</v>
      </c>
      <c r="H66" s="266"/>
      <c r="I66" s="134" t="s">
        <v>693</v>
      </c>
      <c r="M66" s="266" t="s">
        <v>694</v>
      </c>
      <c r="N66" s="266"/>
      <c r="O66" s="266"/>
      <c r="P66" s="266"/>
      <c r="Q66" s="134" t="s">
        <v>695</v>
      </c>
      <c r="U66" s="266" t="s">
        <v>696</v>
      </c>
      <c r="V66" s="266"/>
      <c r="W66" s="266"/>
      <c r="X66" s="266"/>
      <c r="Y66" s="134" t="s">
        <v>705</v>
      </c>
      <c r="AC66" s="266" t="s">
        <v>706</v>
      </c>
      <c r="AD66" s="266"/>
      <c r="AE66" s="266"/>
      <c r="AF66" s="266"/>
    </row>
    <row r="67" spans="1:32" s="134" customFormat="1" ht="12.75">
      <c r="A67" s="134" t="s">
        <v>72</v>
      </c>
      <c r="E67" s="134" t="s">
        <v>532</v>
      </c>
      <c r="F67" s="134" t="s">
        <v>73</v>
      </c>
      <c r="G67" s="266"/>
      <c r="H67" s="266"/>
      <c r="J67" s="134">
        <v>2010</v>
      </c>
      <c r="M67" s="266"/>
      <c r="N67" s="266">
        <v>2011</v>
      </c>
      <c r="O67" s="266"/>
      <c r="P67" s="266"/>
      <c r="R67" s="134">
        <v>2012</v>
      </c>
      <c r="U67" s="266"/>
      <c r="V67" s="266">
        <v>2013</v>
      </c>
      <c r="W67" s="266"/>
      <c r="X67" s="266"/>
      <c r="Z67" s="134">
        <v>2014</v>
      </c>
      <c r="AC67" s="266"/>
      <c r="AD67" s="266">
        <v>2015</v>
      </c>
      <c r="AE67" s="266"/>
      <c r="AF67" s="266"/>
    </row>
    <row r="68" spans="1:33" s="134" customFormat="1" ht="12.75">
      <c r="A68" s="245" t="s">
        <v>56</v>
      </c>
      <c r="E68" s="267"/>
      <c r="F68" s="267"/>
      <c r="G68" s="268" t="s">
        <v>74</v>
      </c>
      <c r="H68" s="268" t="s">
        <v>75</v>
      </c>
      <c r="I68" s="267" t="s">
        <v>76</v>
      </c>
      <c r="J68" s="267" t="s">
        <v>77</v>
      </c>
      <c r="K68" s="267" t="s">
        <v>74</v>
      </c>
      <c r="L68" s="267" t="s">
        <v>75</v>
      </c>
      <c r="M68" s="268" t="s">
        <v>76</v>
      </c>
      <c r="N68" s="268" t="s">
        <v>77</v>
      </c>
      <c r="O68" s="268" t="s">
        <v>74</v>
      </c>
      <c r="P68" s="268" t="s">
        <v>75</v>
      </c>
      <c r="Q68" s="267" t="s">
        <v>76</v>
      </c>
      <c r="R68" s="267" t="s">
        <v>77</v>
      </c>
      <c r="S68" s="267" t="s">
        <v>74</v>
      </c>
      <c r="T68" s="267" t="s">
        <v>75</v>
      </c>
      <c r="U68" s="268" t="s">
        <v>76</v>
      </c>
      <c r="V68" s="268" t="s">
        <v>77</v>
      </c>
      <c r="W68" s="268" t="s">
        <v>74</v>
      </c>
      <c r="X68" s="268" t="s">
        <v>75</v>
      </c>
      <c r="Y68" s="267" t="s">
        <v>76</v>
      </c>
      <c r="Z68" s="267" t="s">
        <v>77</v>
      </c>
      <c r="AA68" s="267" t="s">
        <v>74</v>
      </c>
      <c r="AB68" s="267" t="s">
        <v>75</v>
      </c>
      <c r="AC68" s="268" t="s">
        <v>76</v>
      </c>
      <c r="AD68" s="268" t="s">
        <v>77</v>
      </c>
      <c r="AE68" s="268" t="s">
        <v>74</v>
      </c>
      <c r="AF68" s="268" t="s">
        <v>75</v>
      </c>
      <c r="AG68" s="267" t="s">
        <v>76</v>
      </c>
    </row>
    <row r="69" spans="1:33" s="134" customFormat="1" ht="12.75">
      <c r="A69" s="247" t="s">
        <v>57</v>
      </c>
      <c r="E69" s="269"/>
      <c r="F69" s="269"/>
      <c r="G69" s="270"/>
      <c r="H69" s="270"/>
      <c r="I69" s="269"/>
      <c r="J69" s="269"/>
      <c r="K69" s="269"/>
      <c r="L69" s="269"/>
      <c r="M69" s="270"/>
      <c r="N69" s="270"/>
      <c r="O69" s="270"/>
      <c r="P69" s="270"/>
      <c r="Q69" s="269"/>
      <c r="R69" s="269"/>
      <c r="S69" s="269"/>
      <c r="T69" s="269"/>
      <c r="U69" s="270"/>
      <c r="V69" s="270"/>
      <c r="W69" s="270"/>
      <c r="X69" s="270"/>
      <c r="Y69" s="269"/>
      <c r="Z69" s="269"/>
      <c r="AA69" s="267"/>
      <c r="AB69" s="267"/>
      <c r="AC69" s="268"/>
      <c r="AD69" s="268"/>
      <c r="AE69" s="268"/>
      <c r="AF69" s="268"/>
      <c r="AG69" s="267"/>
    </row>
    <row r="70" spans="1:33" s="134" customFormat="1" ht="12.75">
      <c r="A70" s="252" t="s">
        <v>78</v>
      </c>
      <c r="E70" s="269">
        <f>SUM(G70:AG70)</f>
        <v>737.27</v>
      </c>
      <c r="F70" s="269"/>
      <c r="G70" s="270">
        <v>79.03</v>
      </c>
      <c r="H70" s="270">
        <v>153.06</v>
      </c>
      <c r="I70" s="269">
        <v>176.06</v>
      </c>
      <c r="J70" s="269">
        <v>329.12</v>
      </c>
      <c r="K70" s="269"/>
      <c r="L70" s="269"/>
      <c r="M70" s="270"/>
      <c r="N70" s="270"/>
      <c r="O70" s="270"/>
      <c r="P70" s="270"/>
      <c r="Q70" s="269"/>
      <c r="R70" s="269"/>
      <c r="S70" s="269"/>
      <c r="T70" s="269"/>
      <c r="U70" s="270"/>
      <c r="V70" s="270"/>
      <c r="W70" s="270"/>
      <c r="X70" s="270"/>
      <c r="Y70" s="269"/>
      <c r="Z70" s="269"/>
      <c r="AA70" s="267"/>
      <c r="AB70" s="267"/>
      <c r="AC70" s="268"/>
      <c r="AD70" s="268"/>
      <c r="AE70" s="268"/>
      <c r="AF70" s="268"/>
      <c r="AG70" s="267"/>
    </row>
    <row r="71" spans="1:33" s="134" customFormat="1" ht="12.75">
      <c r="A71" s="252" t="s">
        <v>79</v>
      </c>
      <c r="E71" s="269">
        <f aca="true" t="shared" si="8" ref="E71:E77">SUM(G71:AG71)</f>
        <v>371.4599999999999</v>
      </c>
      <c r="F71" s="269"/>
      <c r="G71" s="270">
        <v>54.12</v>
      </c>
      <c r="H71" s="270">
        <v>65.335</v>
      </c>
      <c r="I71" s="269">
        <v>93.335</v>
      </c>
      <c r="J71" s="269">
        <v>158.67</v>
      </c>
      <c r="K71" s="269"/>
      <c r="L71" s="269"/>
      <c r="M71" s="270"/>
      <c r="N71" s="270"/>
      <c r="O71" s="270"/>
      <c r="P71" s="270"/>
      <c r="Q71" s="269"/>
      <c r="R71" s="269"/>
      <c r="S71" s="269"/>
      <c r="T71" s="269"/>
      <c r="U71" s="270"/>
      <c r="V71" s="270"/>
      <c r="W71" s="270"/>
      <c r="X71" s="270"/>
      <c r="Y71" s="269"/>
      <c r="Z71" s="269"/>
      <c r="AA71" s="267"/>
      <c r="AB71" s="267"/>
      <c r="AC71" s="268"/>
      <c r="AD71" s="268"/>
      <c r="AE71" s="268"/>
      <c r="AF71" s="268"/>
      <c r="AG71" s="267"/>
    </row>
    <row r="72" spans="1:33" s="134" customFormat="1" ht="12.75">
      <c r="A72" s="252" t="s">
        <v>80</v>
      </c>
      <c r="E72" s="269">
        <f t="shared" si="8"/>
        <v>16</v>
      </c>
      <c r="F72" s="269"/>
      <c r="G72" s="270">
        <v>8</v>
      </c>
      <c r="H72" s="270">
        <v>0</v>
      </c>
      <c r="I72" s="269">
        <v>4</v>
      </c>
      <c r="J72" s="269">
        <v>4</v>
      </c>
      <c r="K72" s="269"/>
      <c r="L72" s="269"/>
      <c r="M72" s="270"/>
      <c r="N72" s="270"/>
      <c r="O72" s="270"/>
      <c r="P72" s="270"/>
      <c r="Q72" s="269"/>
      <c r="R72" s="269"/>
      <c r="S72" s="269"/>
      <c r="T72" s="269"/>
      <c r="U72" s="270"/>
      <c r="V72" s="270"/>
      <c r="W72" s="270"/>
      <c r="X72" s="270"/>
      <c r="Y72" s="269"/>
      <c r="Z72" s="269"/>
      <c r="AA72" s="267"/>
      <c r="AB72" s="267"/>
      <c r="AC72" s="268"/>
      <c r="AD72" s="268"/>
      <c r="AE72" s="268"/>
      <c r="AF72" s="268"/>
      <c r="AG72" s="267"/>
    </row>
    <row r="73" spans="1:33" s="134" customFormat="1" ht="12.75">
      <c r="A73" s="252" t="s">
        <v>81</v>
      </c>
      <c r="E73" s="269">
        <f t="shared" si="8"/>
        <v>16</v>
      </c>
      <c r="F73" s="269"/>
      <c r="G73" s="270">
        <v>8</v>
      </c>
      <c r="H73" s="270">
        <v>0</v>
      </c>
      <c r="I73" s="269">
        <v>4</v>
      </c>
      <c r="J73" s="269">
        <v>4</v>
      </c>
      <c r="K73" s="269"/>
      <c r="L73" s="269"/>
      <c r="M73" s="270"/>
      <c r="N73" s="270"/>
      <c r="O73" s="270"/>
      <c r="P73" s="270"/>
      <c r="Q73" s="269"/>
      <c r="R73" s="269"/>
      <c r="S73" s="269"/>
      <c r="T73" s="269"/>
      <c r="U73" s="270"/>
      <c r="V73" s="270"/>
      <c r="W73" s="270"/>
      <c r="X73" s="270"/>
      <c r="Y73" s="269"/>
      <c r="Z73" s="269"/>
      <c r="AA73" s="267"/>
      <c r="AB73" s="267"/>
      <c r="AC73" s="268"/>
      <c r="AD73" s="268"/>
      <c r="AE73" s="268"/>
      <c r="AF73" s="268"/>
      <c r="AG73" s="267"/>
    </row>
    <row r="74" spans="1:33" s="134" customFormat="1" ht="12.75">
      <c r="A74" s="252" t="s">
        <v>82</v>
      </c>
      <c r="E74" s="269">
        <f t="shared" si="8"/>
        <v>417.77</v>
      </c>
      <c r="F74" s="269"/>
      <c r="G74" s="270">
        <v>12</v>
      </c>
      <c r="H74" s="270">
        <v>96.36</v>
      </c>
      <c r="I74" s="269">
        <v>106.525</v>
      </c>
      <c r="J74" s="269">
        <v>202.885</v>
      </c>
      <c r="K74" s="269"/>
      <c r="L74" s="269"/>
      <c r="M74" s="270"/>
      <c r="N74" s="270"/>
      <c r="O74" s="270"/>
      <c r="P74" s="270"/>
      <c r="Q74" s="269"/>
      <c r="R74" s="269"/>
      <c r="S74" s="269"/>
      <c r="T74" s="269"/>
      <c r="U74" s="270"/>
      <c r="V74" s="270"/>
      <c r="W74" s="270"/>
      <c r="X74" s="270"/>
      <c r="Y74" s="269"/>
      <c r="Z74" s="269"/>
      <c r="AA74" s="267"/>
      <c r="AB74" s="267"/>
      <c r="AC74" s="268"/>
      <c r="AD74" s="268"/>
      <c r="AE74" s="268"/>
      <c r="AF74" s="268"/>
      <c r="AG74" s="267"/>
    </row>
    <row r="75" spans="1:33" s="134" customFormat="1" ht="12.75">
      <c r="A75" s="252" t="s">
        <v>83</v>
      </c>
      <c r="E75" s="269">
        <f t="shared" si="8"/>
        <v>0</v>
      </c>
      <c r="F75" s="269"/>
      <c r="G75" s="270"/>
      <c r="H75" s="270">
        <v>0</v>
      </c>
      <c r="I75" s="269">
        <v>0</v>
      </c>
      <c r="J75" s="269">
        <v>0</v>
      </c>
      <c r="K75" s="269"/>
      <c r="L75" s="269"/>
      <c r="M75" s="270"/>
      <c r="N75" s="270"/>
      <c r="O75" s="270"/>
      <c r="P75" s="270"/>
      <c r="Q75" s="269"/>
      <c r="R75" s="269"/>
      <c r="S75" s="269"/>
      <c r="T75" s="269"/>
      <c r="U75" s="270"/>
      <c r="V75" s="270"/>
      <c r="W75" s="270"/>
      <c r="X75" s="270"/>
      <c r="Y75" s="269"/>
      <c r="Z75" s="269"/>
      <c r="AA75" s="267"/>
      <c r="AB75" s="267"/>
      <c r="AC75" s="268"/>
      <c r="AD75" s="268"/>
      <c r="AE75" s="268"/>
      <c r="AF75" s="268"/>
      <c r="AG75" s="267"/>
    </row>
    <row r="76" spans="1:33" s="134" customFormat="1" ht="12.75">
      <c r="A76" s="252" t="s">
        <v>84</v>
      </c>
      <c r="E76" s="269">
        <f t="shared" si="8"/>
        <v>847.77</v>
      </c>
      <c r="F76" s="269"/>
      <c r="G76" s="270">
        <v>92</v>
      </c>
      <c r="H76" s="270">
        <v>233.36</v>
      </c>
      <c r="I76" s="269">
        <v>144.525</v>
      </c>
      <c r="J76" s="269">
        <v>377.885</v>
      </c>
      <c r="K76" s="269"/>
      <c r="L76" s="269"/>
      <c r="M76" s="270"/>
      <c r="N76" s="270"/>
      <c r="O76" s="270"/>
      <c r="P76" s="270"/>
      <c r="Q76" s="269"/>
      <c r="R76" s="269"/>
      <c r="S76" s="269"/>
      <c r="T76" s="269"/>
      <c r="U76" s="270"/>
      <c r="V76" s="270"/>
      <c r="W76" s="270"/>
      <c r="X76" s="270"/>
      <c r="Y76" s="269"/>
      <c r="Z76" s="269"/>
      <c r="AA76" s="267"/>
      <c r="AB76" s="267"/>
      <c r="AC76" s="268"/>
      <c r="AD76" s="268"/>
      <c r="AE76" s="268"/>
      <c r="AF76" s="268"/>
      <c r="AG76" s="267"/>
    </row>
    <row r="77" spans="1:33" s="134" customFormat="1" ht="12.75">
      <c r="A77" s="252" t="s">
        <v>85</v>
      </c>
      <c r="E77" s="269">
        <f t="shared" si="8"/>
        <v>87.44</v>
      </c>
      <c r="F77" s="269"/>
      <c r="G77" s="270">
        <v>12</v>
      </c>
      <c r="H77" s="270">
        <v>18.86</v>
      </c>
      <c r="I77" s="269">
        <v>18.86</v>
      </c>
      <c r="J77" s="269">
        <v>37.72</v>
      </c>
      <c r="K77" s="269"/>
      <c r="L77" s="269"/>
      <c r="M77" s="270"/>
      <c r="N77" s="270"/>
      <c r="O77" s="270"/>
      <c r="P77" s="270"/>
      <c r="Q77" s="269"/>
      <c r="R77" s="269"/>
      <c r="S77" s="269"/>
      <c r="T77" s="269"/>
      <c r="U77" s="270"/>
      <c r="V77" s="270"/>
      <c r="W77" s="270"/>
      <c r="X77" s="270"/>
      <c r="Y77" s="269"/>
      <c r="Z77" s="269"/>
      <c r="AA77" s="267"/>
      <c r="AB77" s="267"/>
      <c r="AC77" s="268"/>
      <c r="AD77" s="268"/>
      <c r="AE77" s="268"/>
      <c r="AF77" s="268"/>
      <c r="AG77" s="267"/>
    </row>
    <row r="78" spans="1:33" s="134" customFormat="1" ht="12.75">
      <c r="A78" s="247" t="s">
        <v>58</v>
      </c>
      <c r="E78" s="269"/>
      <c r="F78" s="269"/>
      <c r="G78" s="270"/>
      <c r="H78" s="270"/>
      <c r="I78" s="269"/>
      <c r="J78" s="269"/>
      <c r="K78" s="269"/>
      <c r="L78" s="269"/>
      <c r="M78" s="270"/>
      <c r="N78" s="270"/>
      <c r="O78" s="270"/>
      <c r="P78" s="270"/>
      <c r="Q78" s="269"/>
      <c r="R78" s="269"/>
      <c r="S78" s="269"/>
      <c r="T78" s="269"/>
      <c r="U78" s="270"/>
      <c r="V78" s="270"/>
      <c r="W78" s="270"/>
      <c r="X78" s="270"/>
      <c r="Y78" s="269"/>
      <c r="Z78" s="269"/>
      <c r="AA78" s="267"/>
      <c r="AB78" s="267"/>
      <c r="AC78" s="268"/>
      <c r="AD78" s="268"/>
      <c r="AE78" s="268"/>
      <c r="AF78" s="268"/>
      <c r="AG78" s="267"/>
    </row>
    <row r="79" spans="1:33" s="134" customFormat="1" ht="12.75">
      <c r="A79" s="252" t="s">
        <v>78</v>
      </c>
      <c r="E79" s="269">
        <f aca="true" t="shared" si="9" ref="E79:E86">SUM(G79:AG79)</f>
        <v>565.51</v>
      </c>
      <c r="F79" s="269">
        <v>675</v>
      </c>
      <c r="G79" s="270"/>
      <c r="H79" s="270"/>
      <c r="I79" s="269"/>
      <c r="J79" s="269">
        <v>144.12</v>
      </c>
      <c r="K79" s="269">
        <v>113.12</v>
      </c>
      <c r="L79" s="269">
        <v>66.12</v>
      </c>
      <c r="M79" s="270">
        <v>114.12</v>
      </c>
      <c r="N79" s="270">
        <v>128.03</v>
      </c>
      <c r="O79" s="270"/>
      <c r="P79" s="270"/>
      <c r="Q79" s="269"/>
      <c r="R79" s="269"/>
      <c r="S79" s="269"/>
      <c r="T79" s="269"/>
      <c r="U79" s="270"/>
      <c r="V79" s="270"/>
      <c r="W79" s="270"/>
      <c r="X79" s="270"/>
      <c r="Y79" s="269"/>
      <c r="Z79" s="269"/>
      <c r="AA79" s="267"/>
      <c r="AB79" s="267"/>
      <c r="AC79" s="268"/>
      <c r="AD79" s="268"/>
      <c r="AE79" s="268"/>
      <c r="AF79" s="268"/>
      <c r="AG79" s="267"/>
    </row>
    <row r="80" spans="1:33" s="134" customFormat="1" ht="12.75">
      <c r="A80" s="252" t="s">
        <v>79</v>
      </c>
      <c r="E80" s="269">
        <f t="shared" si="9"/>
        <v>319.72</v>
      </c>
      <c r="F80" s="269"/>
      <c r="G80" s="270"/>
      <c r="H80" s="270"/>
      <c r="I80" s="269"/>
      <c r="J80" s="269">
        <v>89.13</v>
      </c>
      <c r="K80" s="269">
        <v>57.9</v>
      </c>
      <c r="L80" s="269">
        <v>50.67</v>
      </c>
      <c r="M80" s="270">
        <v>78.67</v>
      </c>
      <c r="N80" s="270">
        <v>43.35</v>
      </c>
      <c r="O80" s="270"/>
      <c r="P80" s="270"/>
      <c r="Q80" s="269"/>
      <c r="R80" s="269"/>
      <c r="S80" s="269"/>
      <c r="T80" s="269"/>
      <c r="U80" s="270"/>
      <c r="V80" s="270"/>
      <c r="W80" s="270"/>
      <c r="X80" s="270"/>
      <c r="Y80" s="269"/>
      <c r="Z80" s="269"/>
      <c r="AA80" s="267"/>
      <c r="AB80" s="267"/>
      <c r="AC80" s="268"/>
      <c r="AD80" s="268"/>
      <c r="AE80" s="268"/>
      <c r="AF80" s="268"/>
      <c r="AG80" s="267"/>
    </row>
    <row r="81" spans="1:33" s="134" customFormat="1" ht="12.75">
      <c r="A81" s="252" t="s">
        <v>80</v>
      </c>
      <c r="E81" s="269">
        <f t="shared" si="9"/>
        <v>16</v>
      </c>
      <c r="F81" s="269"/>
      <c r="G81" s="270"/>
      <c r="H81" s="270"/>
      <c r="I81" s="269"/>
      <c r="J81" s="269"/>
      <c r="K81" s="269">
        <v>8</v>
      </c>
      <c r="L81" s="269"/>
      <c r="M81" s="270">
        <v>8</v>
      </c>
      <c r="N81" s="270"/>
      <c r="O81" s="270"/>
      <c r="P81" s="270"/>
      <c r="Q81" s="269"/>
      <c r="R81" s="269"/>
      <c r="S81" s="269"/>
      <c r="T81" s="269"/>
      <c r="U81" s="270"/>
      <c r="V81" s="270"/>
      <c r="W81" s="270"/>
      <c r="X81" s="270"/>
      <c r="Y81" s="269"/>
      <c r="Z81" s="269"/>
      <c r="AA81" s="267"/>
      <c r="AB81" s="267"/>
      <c r="AC81" s="268"/>
      <c r="AD81" s="268"/>
      <c r="AE81" s="268"/>
      <c r="AF81" s="268"/>
      <c r="AG81" s="267"/>
    </row>
    <row r="82" spans="1:33" s="134" customFormat="1" ht="12.75">
      <c r="A82" s="252" t="s">
        <v>81</v>
      </c>
      <c r="E82" s="269">
        <f t="shared" si="9"/>
        <v>16</v>
      </c>
      <c r="F82" s="269"/>
      <c r="G82" s="270"/>
      <c r="H82" s="270"/>
      <c r="I82" s="269"/>
      <c r="J82" s="269"/>
      <c r="K82" s="269">
        <v>8</v>
      </c>
      <c r="L82" s="269"/>
      <c r="M82" s="270">
        <v>8</v>
      </c>
      <c r="N82" s="270"/>
      <c r="O82" s="270"/>
      <c r="P82" s="270"/>
      <c r="Q82" s="269"/>
      <c r="R82" s="269"/>
      <c r="S82" s="269"/>
      <c r="T82" s="269"/>
      <c r="U82" s="270"/>
      <c r="V82" s="270"/>
      <c r="W82" s="270"/>
      <c r="X82" s="270"/>
      <c r="Y82" s="269"/>
      <c r="Z82" s="269"/>
      <c r="AA82" s="267"/>
      <c r="AB82" s="267"/>
      <c r="AC82" s="268"/>
      <c r="AD82" s="268"/>
      <c r="AE82" s="268"/>
      <c r="AF82" s="268"/>
      <c r="AG82" s="267"/>
    </row>
    <row r="83" spans="1:33" s="134" customFormat="1" ht="12.75">
      <c r="A83" s="252" t="s">
        <v>82</v>
      </c>
      <c r="E83" s="269">
        <f t="shared" si="9"/>
        <v>871.2500000000001</v>
      </c>
      <c r="F83" s="269">
        <v>700</v>
      </c>
      <c r="G83" s="270"/>
      <c r="H83" s="270"/>
      <c r="I83" s="269"/>
      <c r="J83" s="269">
        <v>59.23</v>
      </c>
      <c r="K83" s="269">
        <v>130.48</v>
      </c>
      <c r="L83" s="269">
        <v>301.72</v>
      </c>
      <c r="M83" s="270">
        <v>301.72</v>
      </c>
      <c r="N83" s="270">
        <v>78.1</v>
      </c>
      <c r="O83" s="270"/>
      <c r="P83" s="270"/>
      <c r="Q83" s="269"/>
      <c r="R83" s="269"/>
      <c r="S83" s="269"/>
      <c r="T83" s="269"/>
      <c r="U83" s="270"/>
      <c r="V83" s="270"/>
      <c r="W83" s="270"/>
      <c r="X83" s="270"/>
      <c r="Y83" s="269"/>
      <c r="Z83" s="269"/>
      <c r="AA83" s="267"/>
      <c r="AB83" s="267"/>
      <c r="AC83" s="268"/>
      <c r="AD83" s="268"/>
      <c r="AE83" s="268"/>
      <c r="AF83" s="268"/>
      <c r="AG83" s="267"/>
    </row>
    <row r="84" spans="1:33" s="134" customFormat="1" ht="12.75">
      <c r="A84" s="252" t="s">
        <v>83</v>
      </c>
      <c r="E84" s="269">
        <f t="shared" si="9"/>
        <v>138</v>
      </c>
      <c r="F84" s="269"/>
      <c r="G84" s="270"/>
      <c r="H84" s="270"/>
      <c r="I84" s="269"/>
      <c r="J84" s="269"/>
      <c r="K84" s="269"/>
      <c r="L84" s="269"/>
      <c r="M84" s="270">
        <v>120</v>
      </c>
      <c r="N84" s="270">
        <v>18</v>
      </c>
      <c r="O84" s="270"/>
      <c r="P84" s="270"/>
      <c r="Q84" s="269"/>
      <c r="R84" s="269"/>
      <c r="S84" s="269"/>
      <c r="T84" s="269"/>
      <c r="U84" s="270"/>
      <c r="V84" s="270"/>
      <c r="W84" s="270"/>
      <c r="X84" s="270"/>
      <c r="Y84" s="269"/>
      <c r="Z84" s="269"/>
      <c r="AA84" s="267"/>
      <c r="AB84" s="267"/>
      <c r="AC84" s="268"/>
      <c r="AD84" s="268"/>
      <c r="AE84" s="268"/>
      <c r="AF84" s="268"/>
      <c r="AG84" s="267"/>
    </row>
    <row r="85" spans="1:33" s="134" customFormat="1" ht="12.75">
      <c r="A85" s="252" t="s">
        <v>84</v>
      </c>
      <c r="E85" s="269">
        <f t="shared" si="9"/>
        <v>871.25</v>
      </c>
      <c r="F85" s="269">
        <v>350</v>
      </c>
      <c r="G85" s="270"/>
      <c r="H85" s="270"/>
      <c r="I85" s="269"/>
      <c r="J85" s="269">
        <v>292.57</v>
      </c>
      <c r="K85" s="269">
        <v>297.15</v>
      </c>
      <c r="L85" s="269">
        <v>184.38</v>
      </c>
      <c r="M85" s="270">
        <v>37.72</v>
      </c>
      <c r="N85" s="270">
        <v>59.43</v>
      </c>
      <c r="O85" s="270"/>
      <c r="P85" s="270"/>
      <c r="Q85" s="269"/>
      <c r="R85" s="269"/>
      <c r="S85" s="269"/>
      <c r="T85" s="269"/>
      <c r="U85" s="270"/>
      <c r="V85" s="270"/>
      <c r="W85" s="270"/>
      <c r="X85" s="270"/>
      <c r="Y85" s="269"/>
      <c r="Z85" s="269"/>
      <c r="AA85" s="267"/>
      <c r="AB85" s="267"/>
      <c r="AC85" s="268"/>
      <c r="AD85" s="268"/>
      <c r="AE85" s="268"/>
      <c r="AF85" s="268"/>
      <c r="AG85" s="267"/>
    </row>
    <row r="86" spans="1:33" s="134" customFormat="1" ht="12.75">
      <c r="A86" s="252" t="s">
        <v>85</v>
      </c>
      <c r="E86" s="269">
        <f t="shared" si="9"/>
        <v>338.59000000000003</v>
      </c>
      <c r="F86" s="269"/>
      <c r="G86" s="270"/>
      <c r="H86" s="270"/>
      <c r="I86" s="269"/>
      <c r="J86" s="269">
        <v>36.57</v>
      </c>
      <c r="K86" s="269">
        <v>37.15</v>
      </c>
      <c r="L86" s="269">
        <v>37.72</v>
      </c>
      <c r="M86" s="270">
        <v>179.05</v>
      </c>
      <c r="N86" s="270">
        <v>48.1</v>
      </c>
      <c r="O86" s="270"/>
      <c r="P86" s="270"/>
      <c r="Q86" s="269"/>
      <c r="R86" s="269"/>
      <c r="S86" s="269"/>
      <c r="T86" s="269"/>
      <c r="U86" s="270"/>
      <c r="V86" s="270"/>
      <c r="W86" s="270"/>
      <c r="X86" s="270"/>
      <c r="Y86" s="269"/>
      <c r="Z86" s="269"/>
      <c r="AA86" s="267"/>
      <c r="AB86" s="267"/>
      <c r="AC86" s="268"/>
      <c r="AD86" s="268"/>
      <c r="AE86" s="268"/>
      <c r="AF86" s="268"/>
      <c r="AG86" s="267"/>
    </row>
    <row r="87" spans="1:33" s="134" customFormat="1" ht="12.75">
      <c r="A87" s="247" t="s">
        <v>59</v>
      </c>
      <c r="E87" s="269"/>
      <c r="F87" s="269"/>
      <c r="G87" s="270"/>
      <c r="H87" s="270"/>
      <c r="I87" s="269"/>
      <c r="J87" s="269"/>
      <c r="K87" s="269"/>
      <c r="L87" s="269"/>
      <c r="M87" s="270"/>
      <c r="N87" s="270"/>
      <c r="O87" s="270"/>
      <c r="P87" s="270"/>
      <c r="Q87" s="269"/>
      <c r="R87" s="269"/>
      <c r="S87" s="269"/>
      <c r="T87" s="269"/>
      <c r="U87" s="270"/>
      <c r="V87" s="270"/>
      <c r="W87" s="270"/>
      <c r="X87" s="270"/>
      <c r="Y87" s="269"/>
      <c r="Z87" s="269"/>
      <c r="AA87" s="267"/>
      <c r="AB87" s="267"/>
      <c r="AC87" s="268"/>
      <c r="AD87" s="268"/>
      <c r="AE87" s="268"/>
      <c r="AF87" s="268"/>
      <c r="AG87" s="267"/>
    </row>
    <row r="88" spans="1:33" s="134" customFormat="1" ht="12.75">
      <c r="A88" s="252" t="s">
        <v>78</v>
      </c>
      <c r="E88" s="269">
        <f aca="true" t="shared" si="10" ref="E88:E101">SUM(G88:AG88)</f>
        <v>1190.78</v>
      </c>
      <c r="F88" s="269">
        <v>200</v>
      </c>
      <c r="G88" s="270">
        <v>193.7625</v>
      </c>
      <c r="H88" s="270">
        <v>193.7625</v>
      </c>
      <c r="I88" s="269">
        <v>401.6275</v>
      </c>
      <c r="J88" s="269">
        <v>401.6275</v>
      </c>
      <c r="K88" s="269"/>
      <c r="L88" s="269"/>
      <c r="M88" s="270"/>
      <c r="N88" s="270"/>
      <c r="O88" s="270"/>
      <c r="P88" s="270"/>
      <c r="Q88" s="269"/>
      <c r="R88" s="269"/>
      <c r="S88" s="269"/>
      <c r="T88" s="269"/>
      <c r="U88" s="270"/>
      <c r="V88" s="270"/>
      <c r="W88" s="270"/>
      <c r="X88" s="270"/>
      <c r="Y88" s="269"/>
      <c r="Z88" s="269"/>
      <c r="AA88" s="267"/>
      <c r="AB88" s="267"/>
      <c r="AC88" s="268"/>
      <c r="AD88" s="268"/>
      <c r="AE88" s="268"/>
      <c r="AF88" s="268"/>
      <c r="AG88" s="267"/>
    </row>
    <row r="89" spans="1:33" s="134" customFormat="1" ht="12.75">
      <c r="A89" s="252" t="s">
        <v>79</v>
      </c>
      <c r="E89" s="269">
        <f t="shared" si="10"/>
        <v>445.26</v>
      </c>
      <c r="F89" s="269"/>
      <c r="G89" s="270">
        <v>55.465</v>
      </c>
      <c r="H89" s="270">
        <v>55.465</v>
      </c>
      <c r="I89" s="269">
        <v>167.165</v>
      </c>
      <c r="J89" s="269">
        <v>167.165</v>
      </c>
      <c r="K89" s="269"/>
      <c r="L89" s="269"/>
      <c r="M89" s="270"/>
      <c r="N89" s="270"/>
      <c r="O89" s="270"/>
      <c r="P89" s="270"/>
      <c r="Q89" s="269"/>
      <c r="R89" s="269"/>
      <c r="S89" s="269"/>
      <c r="T89" s="269"/>
      <c r="U89" s="270"/>
      <c r="V89" s="270"/>
      <c r="W89" s="270"/>
      <c r="X89" s="270"/>
      <c r="Y89" s="269"/>
      <c r="Z89" s="269"/>
      <c r="AA89" s="267"/>
      <c r="AB89" s="267"/>
      <c r="AC89" s="268"/>
      <c r="AD89" s="268"/>
      <c r="AE89" s="268"/>
      <c r="AF89" s="268"/>
      <c r="AG89" s="267"/>
    </row>
    <row r="90" spans="1:33" s="134" customFormat="1" ht="12.75">
      <c r="A90" s="252" t="s">
        <v>81</v>
      </c>
      <c r="E90" s="269">
        <f t="shared" si="10"/>
        <v>120</v>
      </c>
      <c r="F90" s="269"/>
      <c r="G90" s="270">
        <v>22.5</v>
      </c>
      <c r="H90" s="270">
        <v>22.5</v>
      </c>
      <c r="I90" s="269">
        <v>37.5</v>
      </c>
      <c r="J90" s="269">
        <v>37.5</v>
      </c>
      <c r="K90" s="269"/>
      <c r="L90" s="269"/>
      <c r="M90" s="270"/>
      <c r="N90" s="270"/>
      <c r="O90" s="270"/>
      <c r="P90" s="270"/>
      <c r="Q90" s="269"/>
      <c r="R90" s="269"/>
      <c r="S90" s="269"/>
      <c r="T90" s="269"/>
      <c r="U90" s="270"/>
      <c r="V90" s="270"/>
      <c r="W90" s="270"/>
      <c r="X90" s="270"/>
      <c r="Y90" s="269"/>
      <c r="Z90" s="269"/>
      <c r="AA90" s="267"/>
      <c r="AB90" s="267"/>
      <c r="AC90" s="268"/>
      <c r="AD90" s="268"/>
      <c r="AE90" s="268"/>
      <c r="AF90" s="268"/>
      <c r="AG90" s="267"/>
    </row>
    <row r="91" spans="1:33" s="134" customFormat="1" ht="12.75">
      <c r="A91" s="252" t="s">
        <v>84</v>
      </c>
      <c r="E91" s="269">
        <f t="shared" si="10"/>
        <v>1066.67</v>
      </c>
      <c r="F91" s="269">
        <v>350</v>
      </c>
      <c r="G91" s="270">
        <v>219</v>
      </c>
      <c r="H91" s="270">
        <v>219</v>
      </c>
      <c r="I91" s="269">
        <v>314.335</v>
      </c>
      <c r="J91" s="269">
        <v>314.335</v>
      </c>
      <c r="K91" s="269"/>
      <c r="L91" s="269"/>
      <c r="M91" s="270"/>
      <c r="N91" s="270"/>
      <c r="O91" s="270"/>
      <c r="P91" s="270"/>
      <c r="Q91" s="269"/>
      <c r="R91" s="269"/>
      <c r="S91" s="269"/>
      <c r="T91" s="269"/>
      <c r="U91" s="270"/>
      <c r="V91" s="270"/>
      <c r="W91" s="270"/>
      <c r="X91" s="270"/>
      <c r="Y91" s="269"/>
      <c r="Z91" s="269"/>
      <c r="AA91" s="267"/>
      <c r="AB91" s="267"/>
      <c r="AC91" s="268"/>
      <c r="AD91" s="268"/>
      <c r="AE91" s="268"/>
      <c r="AF91" s="268"/>
      <c r="AG91" s="267"/>
    </row>
    <row r="92" spans="1:33" s="134" customFormat="1" ht="12.75">
      <c r="A92" s="252" t="s">
        <v>86</v>
      </c>
      <c r="E92" s="269">
        <f t="shared" si="10"/>
        <v>1016.52</v>
      </c>
      <c r="F92" s="269">
        <v>300</v>
      </c>
      <c r="G92" s="270">
        <v>152.0675</v>
      </c>
      <c r="H92" s="270">
        <v>152.0675</v>
      </c>
      <c r="I92" s="269">
        <v>356.1925</v>
      </c>
      <c r="J92" s="269">
        <v>356.1925</v>
      </c>
      <c r="K92" s="269"/>
      <c r="L92" s="269"/>
      <c r="M92" s="270"/>
      <c r="N92" s="270"/>
      <c r="O92" s="270"/>
      <c r="P92" s="270"/>
      <c r="Q92" s="269"/>
      <c r="R92" s="269"/>
      <c r="S92" s="269"/>
      <c r="T92" s="269"/>
      <c r="U92" s="270"/>
      <c r="V92" s="270"/>
      <c r="W92" s="270"/>
      <c r="X92" s="270"/>
      <c r="Y92" s="269"/>
      <c r="Z92" s="269"/>
      <c r="AA92" s="267"/>
      <c r="AB92" s="267"/>
      <c r="AC92" s="268"/>
      <c r="AD92" s="268"/>
      <c r="AE92" s="268"/>
      <c r="AF92" s="268"/>
      <c r="AG92" s="267"/>
    </row>
    <row r="93" spans="1:33" s="134" customFormat="1" ht="12.75">
      <c r="A93" s="252" t="s">
        <v>87</v>
      </c>
      <c r="E93" s="269">
        <f t="shared" si="10"/>
        <v>768.51</v>
      </c>
      <c r="F93" s="269"/>
      <c r="G93" s="270">
        <v>131.065</v>
      </c>
      <c r="H93" s="270">
        <v>131.065</v>
      </c>
      <c r="I93" s="269">
        <v>253.19</v>
      </c>
      <c r="J93" s="269">
        <v>253.19</v>
      </c>
      <c r="K93" s="269"/>
      <c r="L93" s="269"/>
      <c r="M93" s="270"/>
      <c r="N93" s="270"/>
      <c r="O93" s="270"/>
      <c r="P93" s="270"/>
      <c r="Q93" s="269"/>
      <c r="R93" s="269"/>
      <c r="S93" s="269"/>
      <c r="T93" s="269"/>
      <c r="U93" s="270"/>
      <c r="V93" s="270"/>
      <c r="W93" s="270"/>
      <c r="X93" s="270"/>
      <c r="Y93" s="269"/>
      <c r="Z93" s="269"/>
      <c r="AA93" s="267"/>
      <c r="AB93" s="267"/>
      <c r="AC93" s="268"/>
      <c r="AD93" s="268"/>
      <c r="AE93" s="268"/>
      <c r="AF93" s="268"/>
      <c r="AG93" s="267"/>
    </row>
    <row r="94" spans="1:33" s="134" customFormat="1" ht="12.75">
      <c r="A94" s="252" t="s">
        <v>88</v>
      </c>
      <c r="E94" s="269">
        <f t="shared" si="10"/>
        <v>35.33</v>
      </c>
      <c r="F94" s="269"/>
      <c r="G94" s="270">
        <v>6</v>
      </c>
      <c r="H94" s="270">
        <v>6</v>
      </c>
      <c r="I94" s="269">
        <v>11.665</v>
      </c>
      <c r="J94" s="269">
        <v>11.665</v>
      </c>
      <c r="K94" s="269"/>
      <c r="L94" s="269"/>
      <c r="M94" s="270"/>
      <c r="N94" s="270"/>
      <c r="O94" s="270"/>
      <c r="P94" s="270"/>
      <c r="Q94" s="269"/>
      <c r="R94" s="269"/>
      <c r="S94" s="269"/>
      <c r="T94" s="269"/>
      <c r="U94" s="270"/>
      <c r="V94" s="270"/>
      <c r="W94" s="270"/>
      <c r="X94" s="270"/>
      <c r="Y94" s="269"/>
      <c r="Z94" s="269"/>
      <c r="AA94" s="267"/>
      <c r="AB94" s="267"/>
      <c r="AC94" s="268"/>
      <c r="AD94" s="268"/>
      <c r="AE94" s="268"/>
      <c r="AF94" s="268"/>
      <c r="AG94" s="267"/>
    </row>
    <row r="95" spans="1:33" s="134" customFormat="1" ht="12.75">
      <c r="A95" s="252" t="s">
        <v>83</v>
      </c>
      <c r="E95" s="269">
        <f t="shared" si="10"/>
        <v>260.51</v>
      </c>
      <c r="F95" s="269"/>
      <c r="G95" s="270">
        <v>45.565</v>
      </c>
      <c r="H95" s="270">
        <v>45.565</v>
      </c>
      <c r="I95" s="269">
        <v>84.69</v>
      </c>
      <c r="J95" s="269">
        <v>84.69</v>
      </c>
      <c r="K95" s="269"/>
      <c r="L95" s="269"/>
      <c r="M95" s="270"/>
      <c r="N95" s="270"/>
      <c r="O95" s="270"/>
      <c r="P95" s="270"/>
      <c r="Q95" s="269"/>
      <c r="R95" s="269"/>
      <c r="S95" s="269"/>
      <c r="T95" s="269"/>
      <c r="U95" s="270"/>
      <c r="V95" s="270"/>
      <c r="W95" s="270"/>
      <c r="X95" s="270"/>
      <c r="Y95" s="269"/>
      <c r="Z95" s="269"/>
      <c r="AA95" s="267"/>
      <c r="AB95" s="267"/>
      <c r="AC95" s="268"/>
      <c r="AD95" s="268"/>
      <c r="AE95" s="268"/>
      <c r="AF95" s="268"/>
      <c r="AG95" s="267"/>
    </row>
    <row r="96" spans="1:33" s="134" customFormat="1" ht="12.75">
      <c r="A96" s="252" t="s">
        <v>85</v>
      </c>
      <c r="E96" s="269">
        <f t="shared" si="10"/>
        <v>1103.1799999999998</v>
      </c>
      <c r="F96" s="269">
        <v>40</v>
      </c>
      <c r="G96" s="270">
        <v>93.565</v>
      </c>
      <c r="H96" s="270">
        <v>93.565</v>
      </c>
      <c r="I96" s="269">
        <v>458.025</v>
      </c>
      <c r="J96" s="269">
        <v>458.025</v>
      </c>
      <c r="K96" s="269"/>
      <c r="L96" s="269"/>
      <c r="M96" s="270"/>
      <c r="N96" s="270"/>
      <c r="O96" s="270"/>
      <c r="P96" s="270"/>
      <c r="Q96" s="269"/>
      <c r="R96" s="269"/>
      <c r="S96" s="269"/>
      <c r="T96" s="269"/>
      <c r="U96" s="270"/>
      <c r="V96" s="270"/>
      <c r="W96" s="270"/>
      <c r="X96" s="270"/>
      <c r="Y96" s="269"/>
      <c r="Z96" s="269"/>
      <c r="AA96" s="267"/>
      <c r="AB96" s="267"/>
      <c r="AC96" s="268"/>
      <c r="AD96" s="268"/>
      <c r="AE96" s="268"/>
      <c r="AF96" s="268"/>
      <c r="AG96" s="267"/>
    </row>
    <row r="97" spans="1:33" s="134" customFormat="1" ht="12.75">
      <c r="A97" s="252" t="s">
        <v>89</v>
      </c>
      <c r="E97" s="269">
        <f t="shared" si="10"/>
        <v>40</v>
      </c>
      <c r="F97" s="269"/>
      <c r="G97" s="270">
        <v>10</v>
      </c>
      <c r="H97" s="270">
        <v>10</v>
      </c>
      <c r="I97" s="269">
        <v>10</v>
      </c>
      <c r="J97" s="269">
        <v>10</v>
      </c>
      <c r="K97" s="269"/>
      <c r="L97" s="269"/>
      <c r="M97" s="270"/>
      <c r="N97" s="270"/>
      <c r="O97" s="270"/>
      <c r="P97" s="270"/>
      <c r="Q97" s="269"/>
      <c r="R97" s="269"/>
      <c r="S97" s="269"/>
      <c r="T97" s="269"/>
      <c r="U97" s="270"/>
      <c r="V97" s="270"/>
      <c r="W97" s="270"/>
      <c r="X97" s="270"/>
      <c r="Y97" s="269"/>
      <c r="Z97" s="269"/>
      <c r="AA97" s="267"/>
      <c r="AB97" s="267"/>
      <c r="AC97" s="268"/>
      <c r="AD97" s="268"/>
      <c r="AE97" s="268"/>
      <c r="AF97" s="268"/>
      <c r="AG97" s="267"/>
    </row>
    <row r="98" spans="1:33" s="134" customFormat="1" ht="12.75">
      <c r="A98" s="252" t="s">
        <v>90</v>
      </c>
      <c r="E98" s="269">
        <f t="shared" si="10"/>
        <v>66.51</v>
      </c>
      <c r="F98" s="269"/>
      <c r="G98" s="270">
        <v>8.065</v>
      </c>
      <c r="H98" s="270">
        <v>8.065</v>
      </c>
      <c r="I98" s="269">
        <v>25.19</v>
      </c>
      <c r="J98" s="269">
        <v>25.19</v>
      </c>
      <c r="K98" s="269"/>
      <c r="L98" s="269"/>
      <c r="M98" s="270"/>
      <c r="N98" s="270"/>
      <c r="O98" s="270"/>
      <c r="P98" s="270"/>
      <c r="Q98" s="269"/>
      <c r="R98" s="269"/>
      <c r="S98" s="269"/>
      <c r="T98" s="269"/>
      <c r="U98" s="270"/>
      <c r="V98" s="270"/>
      <c r="W98" s="270"/>
      <c r="X98" s="270"/>
      <c r="Y98" s="269"/>
      <c r="Z98" s="269"/>
      <c r="AA98" s="267"/>
      <c r="AB98" s="267"/>
      <c r="AC98" s="268"/>
      <c r="AD98" s="268"/>
      <c r="AE98" s="268"/>
      <c r="AF98" s="268"/>
      <c r="AG98" s="267"/>
    </row>
    <row r="99" spans="1:33" s="134" customFormat="1" ht="12.75">
      <c r="A99" s="252" t="s">
        <v>91</v>
      </c>
      <c r="E99" s="269">
        <f t="shared" si="10"/>
        <v>66.51</v>
      </c>
      <c r="F99" s="269"/>
      <c r="G99" s="270">
        <v>8.065</v>
      </c>
      <c r="H99" s="270">
        <v>8.065</v>
      </c>
      <c r="I99" s="269">
        <v>25.19</v>
      </c>
      <c r="J99" s="269">
        <v>25.19</v>
      </c>
      <c r="K99" s="269"/>
      <c r="L99" s="269"/>
      <c r="M99" s="270"/>
      <c r="N99" s="270"/>
      <c r="O99" s="270"/>
      <c r="P99" s="270"/>
      <c r="Q99" s="269"/>
      <c r="R99" s="269"/>
      <c r="S99" s="269"/>
      <c r="T99" s="269"/>
      <c r="U99" s="270"/>
      <c r="V99" s="270"/>
      <c r="W99" s="270"/>
      <c r="X99" s="270"/>
      <c r="Y99" s="269"/>
      <c r="Z99" s="269"/>
      <c r="AA99" s="267"/>
      <c r="AB99" s="267"/>
      <c r="AC99" s="268"/>
      <c r="AD99" s="268"/>
      <c r="AE99" s="268"/>
      <c r="AF99" s="268"/>
      <c r="AG99" s="267"/>
    </row>
    <row r="100" spans="1:33" s="134" customFormat="1" ht="12.75">
      <c r="A100" s="252" t="s">
        <v>92</v>
      </c>
      <c r="E100" s="269">
        <f t="shared" si="10"/>
        <v>66.51</v>
      </c>
      <c r="F100" s="269"/>
      <c r="G100" s="270">
        <v>8.065</v>
      </c>
      <c r="H100" s="270">
        <v>8.065</v>
      </c>
      <c r="I100" s="269">
        <v>25.19</v>
      </c>
      <c r="J100" s="269">
        <v>25.19</v>
      </c>
      <c r="K100" s="269"/>
      <c r="L100" s="269"/>
      <c r="M100" s="270"/>
      <c r="N100" s="270"/>
      <c r="O100" s="270"/>
      <c r="P100" s="270"/>
      <c r="Q100" s="269"/>
      <c r="R100" s="269"/>
      <c r="S100" s="269"/>
      <c r="T100" s="269"/>
      <c r="U100" s="270"/>
      <c r="V100" s="270"/>
      <c r="W100" s="270"/>
      <c r="X100" s="270"/>
      <c r="Y100" s="269"/>
      <c r="Z100" s="269"/>
      <c r="AA100" s="267"/>
      <c r="AB100" s="267"/>
      <c r="AC100" s="268"/>
      <c r="AD100" s="268"/>
      <c r="AE100" s="268"/>
      <c r="AF100" s="268"/>
      <c r="AG100" s="267"/>
    </row>
    <row r="101" spans="1:33" s="134" customFormat="1" ht="12.75">
      <c r="A101" s="252" t="s">
        <v>93</v>
      </c>
      <c r="E101" s="269">
        <f t="shared" si="10"/>
        <v>66.51</v>
      </c>
      <c r="F101" s="269">
        <v>80</v>
      </c>
      <c r="G101" s="270">
        <v>8.065</v>
      </c>
      <c r="H101" s="270">
        <v>8.065</v>
      </c>
      <c r="I101" s="269">
        <v>25.19</v>
      </c>
      <c r="J101" s="269">
        <v>25.19</v>
      </c>
      <c r="K101" s="269"/>
      <c r="L101" s="269"/>
      <c r="M101" s="270"/>
      <c r="N101" s="270"/>
      <c r="O101" s="270"/>
      <c r="P101" s="270"/>
      <c r="Q101" s="269"/>
      <c r="R101" s="269"/>
      <c r="S101" s="269"/>
      <c r="T101" s="269"/>
      <c r="U101" s="270"/>
      <c r="V101" s="270"/>
      <c r="W101" s="270"/>
      <c r="X101" s="270"/>
      <c r="Y101" s="269"/>
      <c r="Z101" s="269"/>
      <c r="AA101" s="267"/>
      <c r="AB101" s="267"/>
      <c r="AC101" s="268"/>
      <c r="AD101" s="268"/>
      <c r="AE101" s="268"/>
      <c r="AF101" s="268"/>
      <c r="AG101" s="267"/>
    </row>
    <row r="102" spans="1:33" s="134" customFormat="1" ht="12.75">
      <c r="A102" s="247" t="s">
        <v>698</v>
      </c>
      <c r="E102" s="269"/>
      <c r="F102" s="269"/>
      <c r="G102" s="270"/>
      <c r="H102" s="270"/>
      <c r="I102" s="269"/>
      <c r="J102" s="269"/>
      <c r="K102" s="269"/>
      <c r="L102" s="269"/>
      <c r="M102" s="270"/>
      <c r="N102" s="270"/>
      <c r="O102" s="270"/>
      <c r="P102" s="270"/>
      <c r="Q102" s="269"/>
      <c r="R102" s="269"/>
      <c r="S102" s="269"/>
      <c r="T102" s="269"/>
      <c r="U102" s="270"/>
      <c r="V102" s="270"/>
      <c r="W102" s="270"/>
      <c r="X102" s="270"/>
      <c r="Y102" s="269"/>
      <c r="Z102" s="269"/>
      <c r="AA102" s="267"/>
      <c r="AB102" s="267"/>
      <c r="AC102" s="268"/>
      <c r="AD102" s="268"/>
      <c r="AE102" s="268"/>
      <c r="AF102" s="268"/>
      <c r="AG102" s="267"/>
    </row>
    <row r="103" spans="1:33" s="134" customFormat="1" ht="12.75">
      <c r="A103" s="252" t="s">
        <v>78</v>
      </c>
      <c r="E103" s="269">
        <f aca="true" t="shared" si="11" ref="E103:E116">SUM(G103:AG103)</f>
        <v>592.8299999999999</v>
      </c>
      <c r="F103" s="269"/>
      <c r="G103" s="270"/>
      <c r="H103" s="270"/>
      <c r="I103" s="269"/>
      <c r="J103" s="269"/>
      <c r="K103" s="269">
        <v>110.425</v>
      </c>
      <c r="L103" s="269">
        <v>110.425</v>
      </c>
      <c r="M103" s="270">
        <v>71.025</v>
      </c>
      <c r="N103" s="270">
        <v>71.025</v>
      </c>
      <c r="O103" s="270">
        <v>229.93</v>
      </c>
      <c r="P103" s="270"/>
      <c r="Q103" s="269"/>
      <c r="R103" s="269"/>
      <c r="S103" s="269"/>
      <c r="T103" s="269"/>
      <c r="U103" s="270"/>
      <c r="V103" s="270"/>
      <c r="W103" s="270"/>
      <c r="X103" s="270"/>
      <c r="Y103" s="269"/>
      <c r="Z103" s="269"/>
      <c r="AA103" s="267"/>
      <c r="AB103" s="267"/>
      <c r="AC103" s="268"/>
      <c r="AD103" s="268"/>
      <c r="AE103" s="268"/>
      <c r="AF103" s="268"/>
      <c r="AG103" s="267"/>
    </row>
    <row r="104" spans="1:33" s="134" customFormat="1" ht="12.75">
      <c r="A104" s="252" t="s">
        <v>79</v>
      </c>
      <c r="E104" s="269">
        <f t="shared" si="11"/>
        <v>285.21000000000004</v>
      </c>
      <c r="F104" s="269"/>
      <c r="G104" s="270"/>
      <c r="H104" s="270"/>
      <c r="I104" s="269"/>
      <c r="J104" s="269"/>
      <c r="K104" s="269">
        <v>50.34</v>
      </c>
      <c r="L104" s="269">
        <v>50.34</v>
      </c>
      <c r="M104" s="270">
        <v>22.69</v>
      </c>
      <c r="N104" s="270">
        <v>22.69</v>
      </c>
      <c r="O104" s="270">
        <v>139.15</v>
      </c>
      <c r="P104" s="270"/>
      <c r="Q104" s="269"/>
      <c r="R104" s="269"/>
      <c r="S104" s="269"/>
      <c r="T104" s="269"/>
      <c r="U104" s="270"/>
      <c r="V104" s="270"/>
      <c r="W104" s="270"/>
      <c r="X104" s="270"/>
      <c r="Y104" s="269"/>
      <c r="Z104" s="269"/>
      <c r="AA104" s="267"/>
      <c r="AB104" s="267"/>
      <c r="AC104" s="268"/>
      <c r="AD104" s="268"/>
      <c r="AE104" s="268"/>
      <c r="AF104" s="268"/>
      <c r="AG104" s="267"/>
    </row>
    <row r="105" spans="1:33" s="134" customFormat="1" ht="12.75">
      <c r="A105" s="252" t="s">
        <v>81</v>
      </c>
      <c r="E105" s="269">
        <f t="shared" si="11"/>
        <v>40</v>
      </c>
      <c r="F105" s="269"/>
      <c r="G105" s="270"/>
      <c r="H105" s="270"/>
      <c r="I105" s="269"/>
      <c r="J105" s="269"/>
      <c r="K105" s="269">
        <v>10</v>
      </c>
      <c r="L105" s="269">
        <v>10</v>
      </c>
      <c r="M105" s="270">
        <v>0</v>
      </c>
      <c r="N105" s="270">
        <v>0</v>
      </c>
      <c r="O105" s="270">
        <v>20</v>
      </c>
      <c r="P105" s="270"/>
      <c r="Q105" s="269"/>
      <c r="R105" s="269"/>
      <c r="S105" s="269"/>
      <c r="T105" s="269"/>
      <c r="U105" s="270"/>
      <c r="V105" s="270"/>
      <c r="W105" s="270"/>
      <c r="X105" s="270"/>
      <c r="Y105" s="269"/>
      <c r="Z105" s="269"/>
      <c r="AA105" s="267"/>
      <c r="AB105" s="267"/>
      <c r="AC105" s="268"/>
      <c r="AD105" s="268"/>
      <c r="AE105" s="268"/>
      <c r="AF105" s="268"/>
      <c r="AG105" s="267"/>
    </row>
    <row r="106" spans="1:33" s="134" customFormat="1" ht="12.75">
      <c r="A106" s="252" t="s">
        <v>84</v>
      </c>
      <c r="E106" s="269">
        <f t="shared" si="11"/>
        <v>2032.8700000000001</v>
      </c>
      <c r="F106" s="269"/>
      <c r="G106" s="270"/>
      <c r="H106" s="270"/>
      <c r="I106" s="269"/>
      <c r="J106" s="269"/>
      <c r="K106" s="269">
        <v>500</v>
      </c>
      <c r="L106" s="269">
        <v>500</v>
      </c>
      <c r="M106" s="270">
        <v>334.335</v>
      </c>
      <c r="N106" s="270">
        <v>334.335</v>
      </c>
      <c r="O106" s="270">
        <v>364.2</v>
      </c>
      <c r="P106" s="270"/>
      <c r="Q106" s="269"/>
      <c r="R106" s="269"/>
      <c r="S106" s="269"/>
      <c r="T106" s="269"/>
      <c r="U106" s="270"/>
      <c r="V106" s="270"/>
      <c r="W106" s="270"/>
      <c r="X106" s="270"/>
      <c r="Y106" s="269"/>
      <c r="Z106" s="269"/>
      <c r="AA106" s="267"/>
      <c r="AB106" s="267"/>
      <c r="AC106" s="268"/>
      <c r="AD106" s="268"/>
      <c r="AE106" s="268"/>
      <c r="AF106" s="268"/>
      <c r="AG106" s="267"/>
    </row>
    <row r="107" spans="1:33" s="134" customFormat="1" ht="12.75">
      <c r="A107" s="252" t="s">
        <v>86</v>
      </c>
      <c r="E107" s="269">
        <f t="shared" si="11"/>
        <v>1476.07</v>
      </c>
      <c r="F107" s="269"/>
      <c r="G107" s="270"/>
      <c r="H107" s="270"/>
      <c r="I107" s="269"/>
      <c r="J107" s="269"/>
      <c r="K107" s="269">
        <v>41.01</v>
      </c>
      <c r="L107" s="269">
        <v>41.01</v>
      </c>
      <c r="M107" s="270">
        <v>612.125</v>
      </c>
      <c r="N107" s="270">
        <v>612.125</v>
      </c>
      <c r="O107" s="270">
        <v>169.8</v>
      </c>
      <c r="P107" s="270"/>
      <c r="Q107" s="269"/>
      <c r="R107" s="269"/>
      <c r="S107" s="269"/>
      <c r="T107" s="269"/>
      <c r="U107" s="270"/>
      <c r="V107" s="270"/>
      <c r="W107" s="270"/>
      <c r="X107" s="270"/>
      <c r="Y107" s="269"/>
      <c r="Z107" s="269"/>
      <c r="AA107" s="267"/>
      <c r="AB107" s="267"/>
      <c r="AC107" s="268"/>
      <c r="AD107" s="268"/>
      <c r="AE107" s="268"/>
      <c r="AF107" s="268"/>
      <c r="AG107" s="267"/>
    </row>
    <row r="108" spans="1:33" s="134" customFormat="1" ht="12.75">
      <c r="A108" s="252" t="s">
        <v>87</v>
      </c>
      <c r="E108" s="269">
        <f t="shared" si="11"/>
        <v>1921.8000000000002</v>
      </c>
      <c r="F108" s="269"/>
      <c r="G108" s="270"/>
      <c r="H108" s="270"/>
      <c r="I108" s="269"/>
      <c r="J108" s="269"/>
      <c r="K108" s="269">
        <v>228.94</v>
      </c>
      <c r="L108" s="269">
        <v>228.94</v>
      </c>
      <c r="M108" s="270">
        <v>217.26</v>
      </c>
      <c r="N108" s="270">
        <v>217.26</v>
      </c>
      <c r="O108" s="270">
        <v>1029.4</v>
      </c>
      <c r="P108" s="270"/>
      <c r="Q108" s="269"/>
      <c r="R108" s="269"/>
      <c r="S108" s="269"/>
      <c r="T108" s="269"/>
      <c r="U108" s="270"/>
      <c r="V108" s="270"/>
      <c r="W108" s="270"/>
      <c r="X108" s="270"/>
      <c r="Y108" s="269"/>
      <c r="Z108" s="269"/>
      <c r="AA108" s="267"/>
      <c r="AB108" s="267"/>
      <c r="AC108" s="268"/>
      <c r="AD108" s="268"/>
      <c r="AE108" s="268"/>
      <c r="AF108" s="268"/>
      <c r="AG108" s="267"/>
    </row>
    <row r="109" spans="1:33" s="134" customFormat="1" ht="12.75">
      <c r="A109" s="252" t="s">
        <v>88</v>
      </c>
      <c r="E109" s="269">
        <f t="shared" si="11"/>
        <v>1498.63</v>
      </c>
      <c r="F109" s="269"/>
      <c r="G109" s="270"/>
      <c r="H109" s="270"/>
      <c r="I109" s="269"/>
      <c r="J109" s="269"/>
      <c r="K109" s="269">
        <v>90.115</v>
      </c>
      <c r="L109" s="269">
        <v>90.115</v>
      </c>
      <c r="M109" s="270">
        <v>307.5</v>
      </c>
      <c r="N109" s="270">
        <v>307.5</v>
      </c>
      <c r="O109" s="270">
        <v>703.4</v>
      </c>
      <c r="P109" s="270"/>
      <c r="Q109" s="269"/>
      <c r="R109" s="269"/>
      <c r="S109" s="269"/>
      <c r="T109" s="269"/>
      <c r="U109" s="270"/>
      <c r="V109" s="270"/>
      <c r="W109" s="270"/>
      <c r="X109" s="270"/>
      <c r="Y109" s="269"/>
      <c r="Z109" s="269"/>
      <c r="AA109" s="267"/>
      <c r="AB109" s="267"/>
      <c r="AC109" s="268"/>
      <c r="AD109" s="268"/>
      <c r="AE109" s="268"/>
      <c r="AF109" s="268"/>
      <c r="AG109" s="267"/>
    </row>
    <row r="110" spans="1:33" s="134" customFormat="1" ht="12.75">
      <c r="A110" s="252" t="s">
        <v>83</v>
      </c>
      <c r="E110" s="269">
        <f t="shared" si="11"/>
        <v>403.39</v>
      </c>
      <c r="F110" s="269"/>
      <c r="G110" s="270"/>
      <c r="H110" s="270"/>
      <c r="I110" s="269"/>
      <c r="J110" s="269"/>
      <c r="K110" s="269">
        <v>11.34</v>
      </c>
      <c r="L110" s="269">
        <v>11.34</v>
      </c>
      <c r="M110" s="270">
        <v>8.19</v>
      </c>
      <c r="N110" s="270">
        <v>8.19</v>
      </c>
      <c r="O110" s="270">
        <v>364.33</v>
      </c>
      <c r="P110" s="270"/>
      <c r="Q110" s="269"/>
      <c r="R110" s="269"/>
      <c r="S110" s="269"/>
      <c r="T110" s="269"/>
      <c r="U110" s="270"/>
      <c r="V110" s="270"/>
      <c r="W110" s="270"/>
      <c r="X110" s="270"/>
      <c r="Y110" s="269"/>
      <c r="Z110" s="269"/>
      <c r="AA110" s="267"/>
      <c r="AB110" s="267"/>
      <c r="AC110" s="268"/>
      <c r="AD110" s="268"/>
      <c r="AE110" s="268"/>
      <c r="AF110" s="268"/>
      <c r="AG110" s="267"/>
    </row>
    <row r="111" spans="1:33" s="134" customFormat="1" ht="12.75">
      <c r="A111" s="252" t="s">
        <v>85</v>
      </c>
      <c r="E111" s="269">
        <f t="shared" si="11"/>
        <v>1025</v>
      </c>
      <c r="F111" s="269"/>
      <c r="G111" s="270"/>
      <c r="H111" s="270"/>
      <c r="I111" s="269"/>
      <c r="J111" s="269"/>
      <c r="K111" s="269">
        <v>126</v>
      </c>
      <c r="L111" s="269">
        <v>126</v>
      </c>
      <c r="M111" s="270">
        <v>128</v>
      </c>
      <c r="N111" s="270">
        <v>128</v>
      </c>
      <c r="O111" s="270">
        <v>517</v>
      </c>
      <c r="P111" s="270"/>
      <c r="Q111" s="269"/>
      <c r="R111" s="269"/>
      <c r="S111" s="269"/>
      <c r="T111" s="269"/>
      <c r="U111" s="270"/>
      <c r="V111" s="270"/>
      <c r="W111" s="270"/>
      <c r="X111" s="270"/>
      <c r="Y111" s="269"/>
      <c r="Z111" s="269"/>
      <c r="AA111" s="267"/>
      <c r="AB111" s="267"/>
      <c r="AC111" s="268"/>
      <c r="AD111" s="268"/>
      <c r="AE111" s="268"/>
      <c r="AF111" s="268"/>
      <c r="AG111" s="267"/>
    </row>
    <row r="112" spans="1:33" s="134" customFormat="1" ht="12.75">
      <c r="A112" s="252" t="s">
        <v>89</v>
      </c>
      <c r="E112" s="269">
        <f t="shared" si="11"/>
        <v>269.47</v>
      </c>
      <c r="F112" s="269"/>
      <c r="G112" s="270"/>
      <c r="H112" s="270"/>
      <c r="I112" s="269"/>
      <c r="J112" s="269"/>
      <c r="K112" s="269">
        <v>5.6</v>
      </c>
      <c r="L112" s="269">
        <v>5.6</v>
      </c>
      <c r="M112" s="270">
        <v>23.2</v>
      </c>
      <c r="N112" s="270">
        <v>23.2</v>
      </c>
      <c r="O112" s="270">
        <v>211.87</v>
      </c>
      <c r="P112" s="270"/>
      <c r="Q112" s="269"/>
      <c r="R112" s="269"/>
      <c r="S112" s="269"/>
      <c r="T112" s="269"/>
      <c r="U112" s="270"/>
      <c r="V112" s="270"/>
      <c r="W112" s="270"/>
      <c r="X112" s="270"/>
      <c r="Y112" s="269"/>
      <c r="Z112" s="269"/>
      <c r="AA112" s="267"/>
      <c r="AB112" s="267"/>
      <c r="AC112" s="268"/>
      <c r="AD112" s="268"/>
      <c r="AE112" s="268"/>
      <c r="AF112" s="268"/>
      <c r="AG112" s="267"/>
    </row>
    <row r="113" spans="1:33" s="134" customFormat="1" ht="12.75">
      <c r="A113" s="252" t="s">
        <v>90</v>
      </c>
      <c r="E113" s="269">
        <f t="shared" si="11"/>
        <v>155.39</v>
      </c>
      <c r="F113" s="269"/>
      <c r="G113" s="270"/>
      <c r="H113" s="270"/>
      <c r="I113" s="269"/>
      <c r="J113" s="269"/>
      <c r="K113" s="269">
        <v>11.34</v>
      </c>
      <c r="L113" s="269">
        <v>11.34</v>
      </c>
      <c r="M113" s="270">
        <v>8.19</v>
      </c>
      <c r="N113" s="270">
        <v>8.19</v>
      </c>
      <c r="O113" s="270">
        <v>116.33</v>
      </c>
      <c r="P113" s="270"/>
      <c r="Q113" s="269"/>
      <c r="R113" s="269"/>
      <c r="S113" s="269"/>
      <c r="T113" s="269"/>
      <c r="U113" s="270"/>
      <c r="V113" s="270"/>
      <c r="W113" s="270"/>
      <c r="X113" s="270"/>
      <c r="Y113" s="269"/>
      <c r="Z113" s="269"/>
      <c r="AA113" s="267"/>
      <c r="AB113" s="267"/>
      <c r="AC113" s="268"/>
      <c r="AD113" s="268"/>
      <c r="AE113" s="268"/>
      <c r="AF113" s="268"/>
      <c r="AG113" s="267"/>
    </row>
    <row r="114" spans="1:33" s="134" customFormat="1" ht="12.75">
      <c r="A114" s="252" t="s">
        <v>91</v>
      </c>
      <c r="E114" s="269">
        <f t="shared" si="11"/>
        <v>75.38999999999999</v>
      </c>
      <c r="F114" s="269"/>
      <c r="G114" s="270"/>
      <c r="H114" s="270"/>
      <c r="I114" s="269"/>
      <c r="J114" s="269"/>
      <c r="K114" s="269">
        <v>11.34</v>
      </c>
      <c r="L114" s="269">
        <v>11.34</v>
      </c>
      <c r="M114" s="270">
        <v>8.19</v>
      </c>
      <c r="N114" s="270">
        <v>8.19</v>
      </c>
      <c r="O114" s="270">
        <v>36.33</v>
      </c>
      <c r="P114" s="270"/>
      <c r="Q114" s="269"/>
      <c r="R114" s="269"/>
      <c r="S114" s="269"/>
      <c r="T114" s="269"/>
      <c r="U114" s="270"/>
      <c r="V114" s="270"/>
      <c r="W114" s="270"/>
      <c r="X114" s="270"/>
      <c r="Y114" s="269"/>
      <c r="Z114" s="269"/>
      <c r="AA114" s="267"/>
      <c r="AB114" s="267"/>
      <c r="AC114" s="268"/>
      <c r="AD114" s="268"/>
      <c r="AE114" s="268"/>
      <c r="AF114" s="268"/>
      <c r="AG114" s="267"/>
    </row>
    <row r="115" spans="1:33" s="134" customFormat="1" ht="12.75">
      <c r="A115" s="252" t="s">
        <v>92</v>
      </c>
      <c r="E115" s="269">
        <f t="shared" si="11"/>
        <v>95.38999999999999</v>
      </c>
      <c r="F115" s="269"/>
      <c r="G115" s="270"/>
      <c r="H115" s="270"/>
      <c r="I115" s="269"/>
      <c r="J115" s="269"/>
      <c r="K115" s="269">
        <v>11.34</v>
      </c>
      <c r="L115" s="269">
        <v>11.34</v>
      </c>
      <c r="M115" s="270">
        <v>8.19</v>
      </c>
      <c r="N115" s="270">
        <v>8.19</v>
      </c>
      <c r="O115" s="270">
        <v>56.33</v>
      </c>
      <c r="P115" s="270"/>
      <c r="Q115" s="269"/>
      <c r="R115" s="269"/>
      <c r="S115" s="269"/>
      <c r="T115" s="269"/>
      <c r="U115" s="270"/>
      <c r="V115" s="270"/>
      <c r="W115" s="270"/>
      <c r="X115" s="270"/>
      <c r="Y115" s="269"/>
      <c r="Z115" s="269"/>
      <c r="AA115" s="267"/>
      <c r="AB115" s="267"/>
      <c r="AC115" s="268"/>
      <c r="AD115" s="268"/>
      <c r="AE115" s="268"/>
      <c r="AF115" s="268"/>
      <c r="AG115" s="267"/>
    </row>
    <row r="116" spans="1:33" s="134" customFormat="1" ht="12.75">
      <c r="A116" s="252" t="s">
        <v>93</v>
      </c>
      <c r="E116" s="269">
        <f t="shared" si="11"/>
        <v>75.38999999999999</v>
      </c>
      <c r="F116" s="269"/>
      <c r="G116" s="270"/>
      <c r="H116" s="270"/>
      <c r="I116" s="269"/>
      <c r="J116" s="269"/>
      <c r="K116" s="269">
        <v>11.34</v>
      </c>
      <c r="L116" s="269">
        <v>11.34</v>
      </c>
      <c r="M116" s="270">
        <v>8.19</v>
      </c>
      <c r="N116" s="270">
        <v>8.19</v>
      </c>
      <c r="O116" s="270">
        <v>36.33</v>
      </c>
      <c r="P116" s="270"/>
      <c r="Q116" s="269"/>
      <c r="R116" s="269"/>
      <c r="S116" s="269"/>
      <c r="T116" s="269"/>
      <c r="U116" s="270"/>
      <c r="V116" s="270"/>
      <c r="W116" s="270"/>
      <c r="X116" s="270"/>
      <c r="Y116" s="269"/>
      <c r="Z116" s="269"/>
      <c r="AA116" s="267"/>
      <c r="AB116" s="267"/>
      <c r="AC116" s="268"/>
      <c r="AD116" s="268"/>
      <c r="AE116" s="268"/>
      <c r="AF116" s="268"/>
      <c r="AG116" s="267"/>
    </row>
    <row r="117" spans="1:33" s="134" customFormat="1" ht="12.75">
      <c r="A117" s="247" t="s">
        <v>699</v>
      </c>
      <c r="E117" s="269"/>
      <c r="F117" s="269"/>
      <c r="G117" s="270"/>
      <c r="H117" s="270"/>
      <c r="I117" s="269"/>
      <c r="J117" s="269"/>
      <c r="K117" s="269"/>
      <c r="L117" s="269"/>
      <c r="M117" s="270"/>
      <c r="N117" s="270"/>
      <c r="O117" s="270"/>
      <c r="P117" s="270"/>
      <c r="Q117" s="269"/>
      <c r="R117" s="269"/>
      <c r="S117" s="269"/>
      <c r="T117" s="269"/>
      <c r="U117" s="270"/>
      <c r="V117" s="270"/>
      <c r="W117" s="270"/>
      <c r="X117" s="270"/>
      <c r="Y117" s="269"/>
      <c r="Z117" s="269"/>
      <c r="AA117" s="267"/>
      <c r="AB117" s="267"/>
      <c r="AC117" s="268"/>
      <c r="AD117" s="268"/>
      <c r="AE117" s="268"/>
      <c r="AF117" s="268"/>
      <c r="AG117" s="267"/>
    </row>
    <row r="118" spans="1:33" s="134" customFormat="1" ht="12.75">
      <c r="A118" s="252" t="s">
        <v>843</v>
      </c>
      <c r="E118" s="269"/>
      <c r="F118" s="269"/>
      <c r="G118" s="270"/>
      <c r="H118" s="270"/>
      <c r="I118" s="269"/>
      <c r="J118" s="269"/>
      <c r="K118" s="269"/>
      <c r="L118" s="269"/>
      <c r="M118" s="270"/>
      <c r="N118" s="270"/>
      <c r="O118" s="270"/>
      <c r="P118" s="270"/>
      <c r="Q118" s="269"/>
      <c r="R118" s="269"/>
      <c r="S118" s="269"/>
      <c r="T118" s="269"/>
      <c r="U118" s="270"/>
      <c r="V118" s="270"/>
      <c r="W118" s="270"/>
      <c r="X118" s="270"/>
      <c r="Y118" s="269"/>
      <c r="Z118" s="269"/>
      <c r="AA118" s="267"/>
      <c r="AB118" s="267"/>
      <c r="AC118" s="268"/>
      <c r="AD118" s="268"/>
      <c r="AE118" s="268"/>
      <c r="AF118" s="268"/>
      <c r="AG118" s="267"/>
    </row>
    <row r="119" spans="1:33" s="134" customFormat="1" ht="12.75">
      <c r="A119" s="271" t="s">
        <v>78</v>
      </c>
      <c r="E119" s="269">
        <f aca="true" t="shared" si="12" ref="E119:E132">SUM(G119:AG119)</f>
        <v>974.96</v>
      </c>
      <c r="F119" s="269"/>
      <c r="G119" s="270"/>
      <c r="H119" s="270"/>
      <c r="I119" s="269"/>
      <c r="J119" s="269"/>
      <c r="K119" s="269"/>
      <c r="L119" s="269"/>
      <c r="M119" s="270"/>
      <c r="N119" s="270"/>
      <c r="O119" s="270"/>
      <c r="P119" s="270">
        <v>143.03</v>
      </c>
      <c r="Q119" s="269">
        <v>83.83</v>
      </c>
      <c r="R119" s="269">
        <v>83.7</v>
      </c>
      <c r="S119" s="269">
        <v>84.98</v>
      </c>
      <c r="T119" s="269">
        <v>83.7</v>
      </c>
      <c r="U119" s="270">
        <v>69.52</v>
      </c>
      <c r="V119" s="270">
        <v>47.82</v>
      </c>
      <c r="W119" s="270">
        <v>226.38</v>
      </c>
      <c r="X119" s="270">
        <v>112</v>
      </c>
      <c r="Y119" s="269">
        <v>40</v>
      </c>
      <c r="Z119" s="269"/>
      <c r="AA119" s="267"/>
      <c r="AB119" s="267"/>
      <c r="AC119" s="268"/>
      <c r="AD119" s="268"/>
      <c r="AE119" s="268"/>
      <c r="AF119" s="268"/>
      <c r="AG119" s="267"/>
    </row>
    <row r="120" spans="1:33" s="134" customFormat="1" ht="12.75">
      <c r="A120" s="271" t="s">
        <v>79</v>
      </c>
      <c r="E120" s="269">
        <f t="shared" si="12"/>
        <v>452.15</v>
      </c>
      <c r="F120" s="269"/>
      <c r="G120" s="270"/>
      <c r="H120" s="270"/>
      <c r="I120" s="269"/>
      <c r="J120" s="269"/>
      <c r="K120" s="269"/>
      <c r="L120" s="269"/>
      <c r="M120" s="270"/>
      <c r="N120" s="270"/>
      <c r="O120" s="270"/>
      <c r="P120" s="270">
        <v>59.68</v>
      </c>
      <c r="Q120" s="269">
        <v>30.1</v>
      </c>
      <c r="R120" s="269">
        <v>29.38</v>
      </c>
      <c r="S120" s="269">
        <v>29.83</v>
      </c>
      <c r="T120" s="269">
        <v>29.38</v>
      </c>
      <c r="U120" s="270">
        <v>17.78</v>
      </c>
      <c r="V120" s="270"/>
      <c r="W120" s="270">
        <v>168</v>
      </c>
      <c r="X120" s="270">
        <v>64</v>
      </c>
      <c r="Y120" s="269">
        <v>24</v>
      </c>
      <c r="Z120" s="269"/>
      <c r="AA120" s="267"/>
      <c r="AB120" s="267"/>
      <c r="AC120" s="268"/>
      <c r="AD120" s="268"/>
      <c r="AE120" s="268"/>
      <c r="AF120" s="268"/>
      <c r="AG120" s="267"/>
    </row>
    <row r="121" spans="1:33" s="134" customFormat="1" ht="12.75">
      <c r="A121" s="271" t="s">
        <v>81</v>
      </c>
      <c r="E121" s="269">
        <f t="shared" si="12"/>
        <v>0</v>
      </c>
      <c r="F121" s="269"/>
      <c r="G121" s="270"/>
      <c r="H121" s="270"/>
      <c r="I121" s="269"/>
      <c r="J121" s="269"/>
      <c r="K121" s="269"/>
      <c r="L121" s="269"/>
      <c r="M121" s="270"/>
      <c r="N121" s="270"/>
      <c r="O121" s="270"/>
      <c r="P121" s="270"/>
      <c r="Q121" s="269"/>
      <c r="R121" s="269"/>
      <c r="S121" s="269"/>
      <c r="T121" s="269"/>
      <c r="U121" s="270"/>
      <c r="V121" s="270"/>
      <c r="W121" s="270"/>
      <c r="X121" s="270"/>
      <c r="Y121" s="269"/>
      <c r="Z121" s="269"/>
      <c r="AA121" s="267"/>
      <c r="AB121" s="267"/>
      <c r="AC121" s="268"/>
      <c r="AD121" s="268"/>
      <c r="AE121" s="268"/>
      <c r="AF121" s="268"/>
      <c r="AG121" s="267"/>
    </row>
    <row r="122" spans="1:33" s="134" customFormat="1" ht="12.75">
      <c r="A122" s="271" t="s">
        <v>84</v>
      </c>
      <c r="E122" s="269">
        <f t="shared" si="12"/>
        <v>692</v>
      </c>
      <c r="F122" s="269"/>
      <c r="G122" s="270"/>
      <c r="H122" s="270"/>
      <c r="I122" s="269"/>
      <c r="J122" s="269"/>
      <c r="K122" s="269"/>
      <c r="L122" s="269"/>
      <c r="M122" s="270"/>
      <c r="N122" s="270"/>
      <c r="O122" s="270"/>
      <c r="P122" s="270">
        <v>88</v>
      </c>
      <c r="Q122" s="269">
        <v>16</v>
      </c>
      <c r="R122" s="269">
        <v>273.47</v>
      </c>
      <c r="S122" s="269">
        <v>2.53</v>
      </c>
      <c r="T122" s="269">
        <v>64</v>
      </c>
      <c r="U122" s="270">
        <v>80</v>
      </c>
      <c r="V122" s="270">
        <v>80</v>
      </c>
      <c r="W122" s="270">
        <v>48</v>
      </c>
      <c r="X122" s="270">
        <v>40</v>
      </c>
      <c r="Y122" s="269"/>
      <c r="Z122" s="269"/>
      <c r="AA122" s="267"/>
      <c r="AB122" s="267"/>
      <c r="AC122" s="268"/>
      <c r="AD122" s="268"/>
      <c r="AE122" s="268"/>
      <c r="AF122" s="268"/>
      <c r="AG122" s="267"/>
    </row>
    <row r="123" spans="1:33" s="134" customFormat="1" ht="12.75">
      <c r="A123" s="271" t="s">
        <v>86</v>
      </c>
      <c r="E123" s="269">
        <f t="shared" si="12"/>
        <v>1271.92</v>
      </c>
      <c r="F123" s="269"/>
      <c r="G123" s="270"/>
      <c r="H123" s="270"/>
      <c r="I123" s="269"/>
      <c r="J123" s="269"/>
      <c r="K123" s="269"/>
      <c r="L123" s="269"/>
      <c r="M123" s="270"/>
      <c r="N123" s="270"/>
      <c r="O123" s="270"/>
      <c r="P123" s="270">
        <v>115.82</v>
      </c>
      <c r="Q123" s="269">
        <v>64.78</v>
      </c>
      <c r="R123" s="269">
        <v>81.85</v>
      </c>
      <c r="S123" s="269">
        <v>135.17</v>
      </c>
      <c r="T123" s="269">
        <v>176.38</v>
      </c>
      <c r="U123" s="270">
        <v>169.92</v>
      </c>
      <c r="V123" s="270">
        <v>240</v>
      </c>
      <c r="W123" s="270">
        <v>208</v>
      </c>
      <c r="X123" s="270">
        <v>80</v>
      </c>
      <c r="Y123" s="269"/>
      <c r="Z123" s="269"/>
      <c r="AA123" s="267"/>
      <c r="AB123" s="267"/>
      <c r="AC123" s="268"/>
      <c r="AD123" s="268"/>
      <c r="AE123" s="268"/>
      <c r="AF123" s="268"/>
      <c r="AG123" s="267"/>
    </row>
    <row r="124" spans="1:33" s="134" customFormat="1" ht="12.75">
      <c r="A124" s="252" t="s">
        <v>87</v>
      </c>
      <c r="E124" s="269">
        <f t="shared" si="12"/>
        <v>1713.38</v>
      </c>
      <c r="F124" s="269"/>
      <c r="G124" s="270"/>
      <c r="H124" s="270"/>
      <c r="I124" s="269"/>
      <c r="J124" s="269"/>
      <c r="K124" s="269"/>
      <c r="L124" s="269"/>
      <c r="M124" s="270"/>
      <c r="N124" s="270"/>
      <c r="O124" s="270"/>
      <c r="P124" s="270">
        <v>302.75</v>
      </c>
      <c r="Q124" s="269">
        <v>328</v>
      </c>
      <c r="R124" s="269">
        <v>263.85</v>
      </c>
      <c r="S124" s="269">
        <v>144.48</v>
      </c>
      <c r="T124" s="269">
        <v>176.38</v>
      </c>
      <c r="U124" s="270">
        <v>169.92</v>
      </c>
      <c r="V124" s="270">
        <v>241.47</v>
      </c>
      <c r="W124" s="270">
        <v>86.53</v>
      </c>
      <c r="X124" s="270"/>
      <c r="Y124" s="269"/>
      <c r="Z124" s="269"/>
      <c r="AA124" s="267"/>
      <c r="AB124" s="267"/>
      <c r="AC124" s="268"/>
      <c r="AD124" s="268"/>
      <c r="AE124" s="268"/>
      <c r="AF124" s="268"/>
      <c r="AG124" s="267"/>
    </row>
    <row r="125" spans="1:33" s="134" customFormat="1" ht="12.75">
      <c r="A125" s="252" t="s">
        <v>88</v>
      </c>
      <c r="E125" s="269">
        <f t="shared" si="12"/>
        <v>815.4100000000001</v>
      </c>
      <c r="F125" s="269"/>
      <c r="G125" s="270"/>
      <c r="H125" s="270"/>
      <c r="I125" s="269"/>
      <c r="J125" s="269"/>
      <c r="K125" s="269"/>
      <c r="L125" s="269"/>
      <c r="M125" s="270"/>
      <c r="N125" s="270"/>
      <c r="O125" s="270"/>
      <c r="P125" s="270">
        <v>388.87</v>
      </c>
      <c r="Q125" s="269">
        <v>144.22</v>
      </c>
      <c r="R125" s="269">
        <v>220</v>
      </c>
      <c r="S125" s="269">
        <v>14.32</v>
      </c>
      <c r="T125" s="269">
        <v>48</v>
      </c>
      <c r="U125" s="270"/>
      <c r="V125" s="270"/>
      <c r="W125" s="270"/>
      <c r="X125" s="270"/>
      <c r="Y125" s="269"/>
      <c r="Z125" s="269"/>
      <c r="AA125" s="267"/>
      <c r="AB125" s="267"/>
      <c r="AC125" s="268"/>
      <c r="AD125" s="268"/>
      <c r="AE125" s="268"/>
      <c r="AF125" s="268"/>
      <c r="AG125" s="267"/>
    </row>
    <row r="126" spans="1:33" s="134" customFormat="1" ht="12.75">
      <c r="A126" s="271" t="s">
        <v>83</v>
      </c>
      <c r="E126" s="269">
        <f t="shared" si="12"/>
        <v>1281.3799999999999</v>
      </c>
      <c r="F126" s="269"/>
      <c r="G126" s="270"/>
      <c r="H126" s="270"/>
      <c r="I126" s="269"/>
      <c r="J126" s="269"/>
      <c r="K126" s="269"/>
      <c r="L126" s="269"/>
      <c r="M126" s="270"/>
      <c r="N126" s="270"/>
      <c r="O126" s="270"/>
      <c r="P126" s="270">
        <v>97.28</v>
      </c>
      <c r="Q126" s="269">
        <v>116.78</v>
      </c>
      <c r="R126" s="269">
        <v>89.85</v>
      </c>
      <c r="S126" s="269">
        <v>175.17</v>
      </c>
      <c r="T126" s="269">
        <v>176.38</v>
      </c>
      <c r="U126" s="270">
        <v>9.92</v>
      </c>
      <c r="V126" s="270">
        <v>240</v>
      </c>
      <c r="W126" s="270">
        <v>248</v>
      </c>
      <c r="X126" s="270">
        <v>104</v>
      </c>
      <c r="Y126" s="269">
        <v>24</v>
      </c>
      <c r="Z126" s="269"/>
      <c r="AA126" s="267"/>
      <c r="AB126" s="267"/>
      <c r="AC126" s="268"/>
      <c r="AD126" s="268"/>
      <c r="AE126" s="268"/>
      <c r="AF126" s="268"/>
      <c r="AG126" s="267"/>
    </row>
    <row r="127" spans="1:33" s="134" customFormat="1" ht="12.75">
      <c r="A127" s="271" t="s">
        <v>85</v>
      </c>
      <c r="E127" s="269">
        <f t="shared" si="12"/>
        <v>6346.05</v>
      </c>
      <c r="F127" s="269"/>
      <c r="G127" s="270"/>
      <c r="H127" s="270"/>
      <c r="I127" s="269"/>
      <c r="J127" s="269"/>
      <c r="K127" s="269"/>
      <c r="L127" s="269"/>
      <c r="M127" s="270"/>
      <c r="N127" s="270"/>
      <c r="O127" s="270"/>
      <c r="P127" s="270">
        <v>1011.42</v>
      </c>
      <c r="Q127" s="269">
        <v>628.78</v>
      </c>
      <c r="R127" s="269">
        <v>536.38</v>
      </c>
      <c r="S127" s="269">
        <v>755.57</v>
      </c>
      <c r="T127" s="269">
        <v>869.45</v>
      </c>
      <c r="U127" s="270">
        <v>529.92</v>
      </c>
      <c r="V127" s="270">
        <v>520</v>
      </c>
      <c r="W127" s="270">
        <v>1126.53</v>
      </c>
      <c r="X127" s="270">
        <v>344</v>
      </c>
      <c r="Y127" s="269">
        <v>24</v>
      </c>
      <c r="Z127" s="269"/>
      <c r="AA127" s="267"/>
      <c r="AB127" s="267"/>
      <c r="AC127" s="268"/>
      <c r="AD127" s="268"/>
      <c r="AE127" s="268"/>
      <c r="AF127" s="268"/>
      <c r="AG127" s="267"/>
    </row>
    <row r="128" spans="1:33" s="134" customFormat="1" ht="12.75">
      <c r="A128" s="271" t="s">
        <v>89</v>
      </c>
      <c r="E128" s="269">
        <f t="shared" si="12"/>
        <v>3321.74</v>
      </c>
      <c r="F128" s="269"/>
      <c r="G128" s="270"/>
      <c r="H128" s="270"/>
      <c r="I128" s="269"/>
      <c r="J128" s="269"/>
      <c r="K128" s="269"/>
      <c r="L128" s="269"/>
      <c r="M128" s="270"/>
      <c r="N128" s="270"/>
      <c r="O128" s="270"/>
      <c r="P128" s="270">
        <v>475.2</v>
      </c>
      <c r="Q128" s="269">
        <v>940.9</v>
      </c>
      <c r="R128" s="269">
        <v>828.27</v>
      </c>
      <c r="S128" s="269">
        <v>477.37</v>
      </c>
      <c r="T128" s="269">
        <v>280</v>
      </c>
      <c r="U128" s="270">
        <v>160</v>
      </c>
      <c r="V128" s="270">
        <v>80</v>
      </c>
      <c r="W128" s="270">
        <v>49.47</v>
      </c>
      <c r="X128" s="270">
        <v>30.53</v>
      </c>
      <c r="Y128" s="269"/>
      <c r="Z128" s="269"/>
      <c r="AA128" s="267"/>
      <c r="AB128" s="267"/>
      <c r="AC128" s="268"/>
      <c r="AD128" s="268"/>
      <c r="AE128" s="268"/>
      <c r="AF128" s="268"/>
      <c r="AG128" s="267"/>
    </row>
    <row r="129" spans="1:33" s="134" customFormat="1" ht="12.75">
      <c r="A129" s="271" t="s">
        <v>90</v>
      </c>
      <c r="E129" s="269">
        <f t="shared" si="12"/>
        <v>157.37</v>
      </c>
      <c r="F129" s="269"/>
      <c r="G129" s="270"/>
      <c r="H129" s="270"/>
      <c r="I129" s="269"/>
      <c r="J129" s="269"/>
      <c r="K129" s="269"/>
      <c r="L129" s="269"/>
      <c r="M129" s="270"/>
      <c r="N129" s="270"/>
      <c r="O129" s="270"/>
      <c r="P129" s="270">
        <v>33.28</v>
      </c>
      <c r="Q129" s="269">
        <v>16.78</v>
      </c>
      <c r="R129" s="269">
        <v>16.38</v>
      </c>
      <c r="S129" s="269">
        <v>16.63</v>
      </c>
      <c r="T129" s="269">
        <v>16.38</v>
      </c>
      <c r="U129" s="270">
        <v>9.92</v>
      </c>
      <c r="V129" s="270"/>
      <c r="W129" s="270">
        <v>8</v>
      </c>
      <c r="X129" s="270">
        <v>24</v>
      </c>
      <c r="Y129" s="269">
        <v>16</v>
      </c>
      <c r="Z129" s="269"/>
      <c r="AA129" s="267"/>
      <c r="AB129" s="267"/>
      <c r="AC129" s="268"/>
      <c r="AD129" s="268"/>
      <c r="AE129" s="268"/>
      <c r="AF129" s="268"/>
      <c r="AG129" s="267"/>
    </row>
    <row r="130" spans="1:33" s="134" customFormat="1" ht="12.75">
      <c r="A130" s="271" t="s">
        <v>91</v>
      </c>
      <c r="E130" s="269">
        <f t="shared" si="12"/>
        <v>141.37</v>
      </c>
      <c r="F130" s="269"/>
      <c r="G130" s="270"/>
      <c r="H130" s="270"/>
      <c r="I130" s="269"/>
      <c r="J130" s="269"/>
      <c r="K130" s="269"/>
      <c r="L130" s="269"/>
      <c r="M130" s="270"/>
      <c r="N130" s="270"/>
      <c r="O130" s="270"/>
      <c r="P130" s="270">
        <v>33.28</v>
      </c>
      <c r="Q130" s="269">
        <v>16.78</v>
      </c>
      <c r="R130" s="269">
        <v>16.38</v>
      </c>
      <c r="S130" s="269">
        <v>16.63</v>
      </c>
      <c r="T130" s="269">
        <v>16.38</v>
      </c>
      <c r="U130" s="270">
        <v>9.92</v>
      </c>
      <c r="V130" s="270"/>
      <c r="W130" s="270">
        <v>8</v>
      </c>
      <c r="X130" s="270">
        <v>8</v>
      </c>
      <c r="Y130" s="269">
        <v>16</v>
      </c>
      <c r="Z130" s="269"/>
      <c r="AA130" s="267"/>
      <c r="AB130" s="267"/>
      <c r="AC130" s="268"/>
      <c r="AD130" s="268"/>
      <c r="AE130" s="268"/>
      <c r="AF130" s="268"/>
      <c r="AG130" s="267"/>
    </row>
    <row r="131" spans="1:33" s="134" customFormat="1" ht="12.75">
      <c r="A131" s="271" t="s">
        <v>92</v>
      </c>
      <c r="E131" s="269">
        <f t="shared" si="12"/>
        <v>141.37</v>
      </c>
      <c r="F131" s="269"/>
      <c r="G131" s="270"/>
      <c r="H131" s="270"/>
      <c r="I131" s="269"/>
      <c r="J131" s="269"/>
      <c r="K131" s="269"/>
      <c r="L131" s="269"/>
      <c r="M131" s="270"/>
      <c r="N131" s="270"/>
      <c r="O131" s="270"/>
      <c r="P131" s="270">
        <v>33.28</v>
      </c>
      <c r="Q131" s="269">
        <v>16.78</v>
      </c>
      <c r="R131" s="269">
        <v>16.38</v>
      </c>
      <c r="S131" s="269">
        <v>16.63</v>
      </c>
      <c r="T131" s="269">
        <v>16.38</v>
      </c>
      <c r="U131" s="270">
        <v>9.92</v>
      </c>
      <c r="V131" s="270"/>
      <c r="W131" s="270">
        <v>8</v>
      </c>
      <c r="X131" s="270">
        <v>8</v>
      </c>
      <c r="Y131" s="269">
        <v>16</v>
      </c>
      <c r="Z131" s="269"/>
      <c r="AA131" s="267"/>
      <c r="AB131" s="267"/>
      <c r="AC131" s="268"/>
      <c r="AD131" s="268"/>
      <c r="AE131" s="268"/>
      <c r="AF131" s="268"/>
      <c r="AG131" s="267"/>
    </row>
    <row r="132" spans="1:33" s="134" customFormat="1" ht="12.75">
      <c r="A132" s="271" t="s">
        <v>93</v>
      </c>
      <c r="E132" s="269">
        <f t="shared" si="12"/>
        <v>141.37</v>
      </c>
      <c r="F132" s="269"/>
      <c r="G132" s="270"/>
      <c r="H132" s="270"/>
      <c r="I132" s="269"/>
      <c r="J132" s="269"/>
      <c r="K132" s="269"/>
      <c r="L132" s="269"/>
      <c r="M132" s="270"/>
      <c r="N132" s="270"/>
      <c r="O132" s="270"/>
      <c r="P132" s="270">
        <v>33.28</v>
      </c>
      <c r="Q132" s="269">
        <v>16.78</v>
      </c>
      <c r="R132" s="269">
        <v>16.38</v>
      </c>
      <c r="S132" s="269">
        <v>16.63</v>
      </c>
      <c r="T132" s="269">
        <v>16.38</v>
      </c>
      <c r="U132" s="270">
        <v>9.92</v>
      </c>
      <c r="V132" s="270"/>
      <c r="W132" s="270">
        <v>8</v>
      </c>
      <c r="X132" s="270">
        <v>8</v>
      </c>
      <c r="Y132" s="269">
        <v>16</v>
      </c>
      <c r="Z132" s="269"/>
      <c r="AA132" s="267"/>
      <c r="AB132" s="267"/>
      <c r="AC132" s="268"/>
      <c r="AD132" s="268"/>
      <c r="AE132" s="268"/>
      <c r="AF132" s="268"/>
      <c r="AG132" s="267"/>
    </row>
    <row r="133" spans="1:33" s="134" customFormat="1" ht="12.75">
      <c r="A133" s="254" t="s">
        <v>839</v>
      </c>
      <c r="E133" s="269">
        <f>SUM(E70:E132)</f>
        <v>39340.13000000001</v>
      </c>
      <c r="F133" s="269"/>
      <c r="G133" s="270">
        <f aca="true" t="shared" si="13" ref="G133:Z133">SUM(G70:G132)</f>
        <v>1226.4000000000003</v>
      </c>
      <c r="H133" s="270">
        <f t="shared" si="13"/>
        <v>1528.2250000000004</v>
      </c>
      <c r="I133" s="269">
        <f t="shared" si="13"/>
        <v>2742.4550000000004</v>
      </c>
      <c r="J133" s="269">
        <f t="shared" si="13"/>
        <v>3931.0500000000006</v>
      </c>
      <c r="K133" s="269">
        <f t="shared" si="13"/>
        <v>1870.9299999999996</v>
      </c>
      <c r="L133" s="269">
        <f t="shared" si="13"/>
        <v>1859.7399999999996</v>
      </c>
      <c r="M133" s="270">
        <f t="shared" si="13"/>
        <v>2604.3650000000002</v>
      </c>
      <c r="N133" s="270">
        <f t="shared" si="13"/>
        <v>2132.0950000000003</v>
      </c>
      <c r="O133" s="270">
        <f t="shared" si="13"/>
        <v>3994.3999999999996</v>
      </c>
      <c r="P133" s="270">
        <f t="shared" si="13"/>
        <v>2815.1700000000005</v>
      </c>
      <c r="Q133" s="269">
        <f t="shared" si="13"/>
        <v>2420.5100000000007</v>
      </c>
      <c r="R133" s="269">
        <f t="shared" si="13"/>
        <v>2472.2700000000004</v>
      </c>
      <c r="S133" s="269">
        <f t="shared" si="13"/>
        <v>1885.9400000000005</v>
      </c>
      <c r="T133" s="269">
        <f t="shared" si="13"/>
        <v>1969.1900000000005</v>
      </c>
      <c r="U133" s="270">
        <f t="shared" si="13"/>
        <v>1246.6600000000003</v>
      </c>
      <c r="V133" s="270">
        <f t="shared" si="13"/>
        <v>1449.29</v>
      </c>
      <c r="W133" s="270">
        <f t="shared" si="13"/>
        <v>2192.91</v>
      </c>
      <c r="X133" s="270">
        <f t="shared" si="13"/>
        <v>822.53</v>
      </c>
      <c r="Y133" s="269">
        <f t="shared" si="13"/>
        <v>176</v>
      </c>
      <c r="Z133" s="269">
        <f t="shared" si="13"/>
        <v>0</v>
      </c>
      <c r="AA133" s="267"/>
      <c r="AB133" s="267"/>
      <c r="AC133" s="268"/>
      <c r="AD133" s="268"/>
      <c r="AE133" s="268"/>
      <c r="AF133" s="268"/>
      <c r="AG133" s="267"/>
    </row>
    <row r="134" spans="7:32" s="134" customFormat="1" ht="12.75">
      <c r="G134" s="266" t="s">
        <v>692</v>
      </c>
      <c r="H134" s="266"/>
      <c r="I134" s="134" t="s">
        <v>693</v>
      </c>
      <c r="M134" s="266" t="s">
        <v>694</v>
      </c>
      <c r="N134" s="266"/>
      <c r="O134" s="266"/>
      <c r="P134" s="266"/>
      <c r="Q134" s="134" t="s">
        <v>695</v>
      </c>
      <c r="U134" s="266" t="s">
        <v>696</v>
      </c>
      <c r="V134" s="266"/>
      <c r="W134" s="266"/>
      <c r="X134" s="266"/>
      <c r="Y134" s="134" t="s">
        <v>705</v>
      </c>
      <c r="AC134" s="266" t="s">
        <v>706</v>
      </c>
      <c r="AD134" s="266"/>
      <c r="AE134" s="266"/>
      <c r="AF134" s="266"/>
    </row>
    <row r="135" spans="1:32" s="134" customFormat="1" ht="12.75">
      <c r="A135" s="272"/>
      <c r="E135" s="273"/>
      <c r="F135" s="273"/>
      <c r="G135" s="274"/>
      <c r="H135" s="274">
        <f>SUM(G133:H133)</f>
        <v>2754.625000000001</v>
      </c>
      <c r="I135" s="273"/>
      <c r="J135" s="273"/>
      <c r="K135" s="273"/>
      <c r="L135" s="273">
        <f>SUM(I133:L133)</f>
        <v>10404.175000000001</v>
      </c>
      <c r="M135" s="274"/>
      <c r="N135" s="274"/>
      <c r="O135" s="274"/>
      <c r="P135" s="274">
        <f>SUM(M133:P133)</f>
        <v>11546.03</v>
      </c>
      <c r="Q135" s="273"/>
      <c r="R135" s="273"/>
      <c r="S135" s="273"/>
      <c r="T135" s="273">
        <f>SUM(Q133:T133)</f>
        <v>8747.910000000002</v>
      </c>
      <c r="U135" s="274"/>
      <c r="V135" s="274"/>
      <c r="W135" s="274"/>
      <c r="X135" s="274">
        <f>SUM(U133:X133)</f>
        <v>5711.39</v>
      </c>
      <c r="Y135" s="273"/>
      <c r="Z135" s="273"/>
      <c r="AB135" s="273">
        <f>SUM(Y133:AB133)</f>
        <v>176</v>
      </c>
      <c r="AC135" s="266"/>
      <c r="AD135" s="266"/>
      <c r="AE135" s="266"/>
      <c r="AF135" s="266"/>
    </row>
    <row r="137" spans="7:32" s="134" customFormat="1" ht="12.75">
      <c r="G137" s="266" t="s">
        <v>692</v>
      </c>
      <c r="H137" s="266"/>
      <c r="I137" s="134" t="s">
        <v>693</v>
      </c>
      <c r="M137" s="266" t="s">
        <v>694</v>
      </c>
      <c r="N137" s="266"/>
      <c r="O137" s="266"/>
      <c r="P137" s="266"/>
      <c r="Q137" s="275" t="s">
        <v>695</v>
      </c>
      <c r="R137" s="275"/>
      <c r="S137" s="275"/>
      <c r="T137" s="275"/>
      <c r="U137" s="266" t="s">
        <v>696</v>
      </c>
      <c r="V137" s="266"/>
      <c r="W137" s="266"/>
      <c r="X137" s="266"/>
      <c r="Y137" s="275" t="s">
        <v>705</v>
      </c>
      <c r="Z137" s="275"/>
      <c r="AA137" s="275"/>
      <c r="AB137" s="275"/>
      <c r="AC137" s="266" t="s">
        <v>706</v>
      </c>
      <c r="AD137" s="266"/>
      <c r="AE137" s="266"/>
      <c r="AF137" s="266"/>
    </row>
    <row r="138" spans="1:32" s="134" customFormat="1" ht="12.75">
      <c r="A138" s="134" t="s">
        <v>94</v>
      </c>
      <c r="E138" s="134" t="s">
        <v>532</v>
      </c>
      <c r="G138" s="266">
        <v>2009</v>
      </c>
      <c r="H138" s="266"/>
      <c r="J138" s="134">
        <v>2010</v>
      </c>
      <c r="M138" s="266"/>
      <c r="N138" s="266">
        <v>2011</v>
      </c>
      <c r="O138" s="266"/>
      <c r="P138" s="266"/>
      <c r="Q138" s="275"/>
      <c r="R138" s="275">
        <v>2012</v>
      </c>
      <c r="S138" s="275"/>
      <c r="T138" s="275"/>
      <c r="U138" s="266"/>
      <c r="V138" s="266">
        <v>2013</v>
      </c>
      <c r="W138" s="266"/>
      <c r="X138" s="266"/>
      <c r="Y138" s="275"/>
      <c r="Z138" s="275">
        <v>2014</v>
      </c>
      <c r="AA138" s="275"/>
      <c r="AB138" s="275"/>
      <c r="AC138" s="266"/>
      <c r="AD138" s="266">
        <v>2015</v>
      </c>
      <c r="AE138" s="266"/>
      <c r="AF138" s="266"/>
    </row>
    <row r="139" spans="1:33" s="134" customFormat="1" ht="12.75">
      <c r="A139" s="245" t="s">
        <v>56</v>
      </c>
      <c r="E139" s="267"/>
      <c r="F139" s="267" t="s">
        <v>95</v>
      </c>
      <c r="G139" s="268" t="s">
        <v>74</v>
      </c>
      <c r="H139" s="268" t="s">
        <v>75</v>
      </c>
      <c r="I139" s="267" t="s">
        <v>76</v>
      </c>
      <c r="J139" s="267" t="s">
        <v>77</v>
      </c>
      <c r="K139" s="267" t="s">
        <v>74</v>
      </c>
      <c r="L139" s="267" t="s">
        <v>75</v>
      </c>
      <c r="M139" s="268" t="s">
        <v>76</v>
      </c>
      <c r="N139" s="268" t="s">
        <v>77</v>
      </c>
      <c r="O139" s="268" t="s">
        <v>74</v>
      </c>
      <c r="P139" s="268" t="s">
        <v>75</v>
      </c>
      <c r="Q139" s="276" t="s">
        <v>76</v>
      </c>
      <c r="R139" s="276" t="s">
        <v>77</v>
      </c>
      <c r="S139" s="276" t="s">
        <v>74</v>
      </c>
      <c r="T139" s="276" t="s">
        <v>75</v>
      </c>
      <c r="U139" s="268" t="s">
        <v>76</v>
      </c>
      <c r="V139" s="268" t="s">
        <v>77</v>
      </c>
      <c r="W139" s="268" t="s">
        <v>74</v>
      </c>
      <c r="X139" s="268" t="s">
        <v>75</v>
      </c>
      <c r="Y139" s="276" t="s">
        <v>76</v>
      </c>
      <c r="Z139" s="276" t="s">
        <v>77</v>
      </c>
      <c r="AA139" s="276" t="s">
        <v>74</v>
      </c>
      <c r="AB139" s="276" t="s">
        <v>75</v>
      </c>
      <c r="AC139" s="268" t="s">
        <v>76</v>
      </c>
      <c r="AD139" s="268" t="s">
        <v>77</v>
      </c>
      <c r="AE139" s="268" t="s">
        <v>74</v>
      </c>
      <c r="AF139" s="268" t="s">
        <v>75</v>
      </c>
      <c r="AG139" s="267" t="s">
        <v>76</v>
      </c>
    </row>
    <row r="140" spans="1:33" s="134" customFormat="1" ht="12.75">
      <c r="A140" s="247" t="s">
        <v>57</v>
      </c>
      <c r="E140" s="248"/>
      <c r="F140" s="248"/>
      <c r="G140" s="277"/>
      <c r="H140" s="277"/>
      <c r="I140" s="278"/>
      <c r="J140" s="278"/>
      <c r="K140" s="278"/>
      <c r="L140" s="278"/>
      <c r="M140" s="277"/>
      <c r="N140" s="277"/>
      <c r="O140" s="277"/>
      <c r="P140" s="277"/>
      <c r="Q140" s="278"/>
      <c r="R140" s="278"/>
      <c r="S140" s="278"/>
      <c r="T140" s="278"/>
      <c r="U140" s="277"/>
      <c r="V140" s="277"/>
      <c r="W140" s="277"/>
      <c r="X140" s="277"/>
      <c r="Y140" s="278"/>
      <c r="Z140" s="278"/>
      <c r="AA140" s="278"/>
      <c r="AB140" s="278"/>
      <c r="AC140" s="277"/>
      <c r="AD140" s="277"/>
      <c r="AE140" s="277"/>
      <c r="AF140" s="277"/>
      <c r="AG140" s="278"/>
    </row>
    <row r="141" spans="1:33" s="134" customFormat="1" ht="12.75">
      <c r="A141" s="252" t="s">
        <v>78</v>
      </c>
      <c r="E141" s="248">
        <f>SUM(G141:AG141)</f>
        <v>64142.48999999999</v>
      </c>
      <c r="F141" s="248">
        <v>87</v>
      </c>
      <c r="G141" s="277">
        <f aca="true" t="shared" si="14" ref="G141:AG148">$F141*G70</f>
        <v>6875.61</v>
      </c>
      <c r="H141" s="277">
        <f t="shared" si="14"/>
        <v>13316.22</v>
      </c>
      <c r="I141" s="278">
        <f t="shared" si="14"/>
        <v>15317.22</v>
      </c>
      <c r="J141" s="278">
        <f t="shared" si="14"/>
        <v>28633.44</v>
      </c>
      <c r="K141" s="278">
        <f t="shared" si="14"/>
        <v>0</v>
      </c>
      <c r="L141" s="278">
        <f t="shared" si="14"/>
        <v>0</v>
      </c>
      <c r="M141" s="277">
        <f t="shared" si="14"/>
        <v>0</v>
      </c>
      <c r="N141" s="277">
        <f t="shared" si="14"/>
        <v>0</v>
      </c>
      <c r="O141" s="277">
        <f t="shared" si="14"/>
        <v>0</v>
      </c>
      <c r="P141" s="277">
        <f t="shared" si="14"/>
        <v>0</v>
      </c>
      <c r="Q141" s="278">
        <f t="shared" si="14"/>
        <v>0</v>
      </c>
      <c r="R141" s="278">
        <f t="shared" si="14"/>
        <v>0</v>
      </c>
      <c r="S141" s="278">
        <f t="shared" si="14"/>
        <v>0</v>
      </c>
      <c r="T141" s="278">
        <f t="shared" si="14"/>
        <v>0</v>
      </c>
      <c r="U141" s="277">
        <f t="shared" si="14"/>
        <v>0</v>
      </c>
      <c r="V141" s="277">
        <f t="shared" si="14"/>
        <v>0</v>
      </c>
      <c r="W141" s="277">
        <f t="shared" si="14"/>
        <v>0</v>
      </c>
      <c r="X141" s="277">
        <f t="shared" si="14"/>
        <v>0</v>
      </c>
      <c r="Y141" s="278">
        <f t="shared" si="14"/>
        <v>0</v>
      </c>
      <c r="Z141" s="278">
        <f t="shared" si="14"/>
        <v>0</v>
      </c>
      <c r="AA141" s="278">
        <f t="shared" si="14"/>
        <v>0</v>
      </c>
      <c r="AB141" s="278">
        <f t="shared" si="14"/>
        <v>0</v>
      </c>
      <c r="AC141" s="277">
        <f t="shared" si="14"/>
        <v>0</v>
      </c>
      <c r="AD141" s="277">
        <f t="shared" si="14"/>
        <v>0</v>
      </c>
      <c r="AE141" s="277">
        <f t="shared" si="14"/>
        <v>0</v>
      </c>
      <c r="AF141" s="277">
        <f t="shared" si="14"/>
        <v>0</v>
      </c>
      <c r="AG141" s="278">
        <f t="shared" si="14"/>
        <v>0</v>
      </c>
    </row>
    <row r="142" spans="1:33" s="134" customFormat="1" ht="12.75">
      <c r="A142" s="252" t="s">
        <v>79</v>
      </c>
      <c r="E142" s="248">
        <f aca="true" t="shared" si="15" ref="E142:E148">SUM(G142:AG142)</f>
        <v>0</v>
      </c>
      <c r="F142" s="248">
        <v>0</v>
      </c>
      <c r="G142" s="277">
        <f t="shared" si="14"/>
        <v>0</v>
      </c>
      <c r="H142" s="277">
        <f t="shared" si="14"/>
        <v>0</v>
      </c>
      <c r="I142" s="278">
        <f t="shared" si="14"/>
        <v>0</v>
      </c>
      <c r="J142" s="278">
        <f t="shared" si="14"/>
        <v>0</v>
      </c>
      <c r="K142" s="278">
        <f t="shared" si="14"/>
        <v>0</v>
      </c>
      <c r="L142" s="278">
        <f t="shared" si="14"/>
        <v>0</v>
      </c>
      <c r="M142" s="277">
        <f t="shared" si="14"/>
        <v>0</v>
      </c>
      <c r="N142" s="277">
        <f t="shared" si="14"/>
        <v>0</v>
      </c>
      <c r="O142" s="277">
        <f t="shared" si="14"/>
        <v>0</v>
      </c>
      <c r="P142" s="277">
        <f t="shared" si="14"/>
        <v>0</v>
      </c>
      <c r="Q142" s="278">
        <f t="shared" si="14"/>
        <v>0</v>
      </c>
      <c r="R142" s="278">
        <f t="shared" si="14"/>
        <v>0</v>
      </c>
      <c r="S142" s="278">
        <f t="shared" si="14"/>
        <v>0</v>
      </c>
      <c r="T142" s="278">
        <f t="shared" si="14"/>
        <v>0</v>
      </c>
      <c r="U142" s="277">
        <f t="shared" si="14"/>
        <v>0</v>
      </c>
      <c r="V142" s="277">
        <f t="shared" si="14"/>
        <v>0</v>
      </c>
      <c r="W142" s="277">
        <f t="shared" si="14"/>
        <v>0</v>
      </c>
      <c r="X142" s="277">
        <f t="shared" si="14"/>
        <v>0</v>
      </c>
      <c r="Y142" s="278">
        <f t="shared" si="14"/>
        <v>0</v>
      </c>
      <c r="Z142" s="278">
        <f t="shared" si="14"/>
        <v>0</v>
      </c>
      <c r="AA142" s="278">
        <f t="shared" si="14"/>
        <v>0</v>
      </c>
      <c r="AB142" s="278">
        <f t="shared" si="14"/>
        <v>0</v>
      </c>
      <c r="AC142" s="277">
        <f t="shared" si="14"/>
        <v>0</v>
      </c>
      <c r="AD142" s="277">
        <f t="shared" si="14"/>
        <v>0</v>
      </c>
      <c r="AE142" s="277">
        <f t="shared" si="14"/>
        <v>0</v>
      </c>
      <c r="AF142" s="277">
        <f t="shared" si="14"/>
        <v>0</v>
      </c>
      <c r="AG142" s="278">
        <f t="shared" si="14"/>
        <v>0</v>
      </c>
    </row>
    <row r="143" spans="1:33" s="134" customFormat="1" ht="12.75">
      <c r="A143" s="252" t="s">
        <v>80</v>
      </c>
      <c r="E143" s="248">
        <f t="shared" si="15"/>
        <v>0</v>
      </c>
      <c r="F143" s="248">
        <v>0</v>
      </c>
      <c r="G143" s="277">
        <f t="shared" si="14"/>
        <v>0</v>
      </c>
      <c r="H143" s="277">
        <f t="shared" si="14"/>
        <v>0</v>
      </c>
      <c r="I143" s="278">
        <f t="shared" si="14"/>
        <v>0</v>
      </c>
      <c r="J143" s="278">
        <f t="shared" si="14"/>
        <v>0</v>
      </c>
      <c r="K143" s="278">
        <f t="shared" si="14"/>
        <v>0</v>
      </c>
      <c r="L143" s="278">
        <f t="shared" si="14"/>
        <v>0</v>
      </c>
      <c r="M143" s="277">
        <f t="shared" si="14"/>
        <v>0</v>
      </c>
      <c r="N143" s="277">
        <f t="shared" si="14"/>
        <v>0</v>
      </c>
      <c r="O143" s="277">
        <f t="shared" si="14"/>
        <v>0</v>
      </c>
      <c r="P143" s="277">
        <f t="shared" si="14"/>
        <v>0</v>
      </c>
      <c r="Q143" s="278">
        <f t="shared" si="14"/>
        <v>0</v>
      </c>
      <c r="R143" s="278">
        <f t="shared" si="14"/>
        <v>0</v>
      </c>
      <c r="S143" s="278">
        <f t="shared" si="14"/>
        <v>0</v>
      </c>
      <c r="T143" s="278">
        <f t="shared" si="14"/>
        <v>0</v>
      </c>
      <c r="U143" s="277">
        <f t="shared" si="14"/>
        <v>0</v>
      </c>
      <c r="V143" s="277">
        <f t="shared" si="14"/>
        <v>0</v>
      </c>
      <c r="W143" s="277">
        <f t="shared" si="14"/>
        <v>0</v>
      </c>
      <c r="X143" s="277">
        <f t="shared" si="14"/>
        <v>0</v>
      </c>
      <c r="Y143" s="278">
        <f t="shared" si="14"/>
        <v>0</v>
      </c>
      <c r="Z143" s="278">
        <f t="shared" si="14"/>
        <v>0</v>
      </c>
      <c r="AA143" s="278">
        <f t="shared" si="14"/>
        <v>0</v>
      </c>
      <c r="AB143" s="278">
        <f t="shared" si="14"/>
        <v>0</v>
      </c>
      <c r="AC143" s="277">
        <f t="shared" si="14"/>
        <v>0</v>
      </c>
      <c r="AD143" s="277">
        <f t="shared" si="14"/>
        <v>0</v>
      </c>
      <c r="AE143" s="277">
        <f t="shared" si="14"/>
        <v>0</v>
      </c>
      <c r="AF143" s="277">
        <f t="shared" si="14"/>
        <v>0</v>
      </c>
      <c r="AG143" s="278">
        <f t="shared" si="14"/>
        <v>0</v>
      </c>
    </row>
    <row r="144" spans="1:33" s="134" customFormat="1" ht="12.75">
      <c r="A144" s="252" t="s">
        <v>81</v>
      </c>
      <c r="E144" s="248">
        <f t="shared" si="15"/>
        <v>0</v>
      </c>
      <c r="F144" s="248">
        <v>0</v>
      </c>
      <c r="G144" s="277">
        <f t="shared" si="14"/>
        <v>0</v>
      </c>
      <c r="H144" s="277">
        <f t="shared" si="14"/>
        <v>0</v>
      </c>
      <c r="I144" s="278">
        <f t="shared" si="14"/>
        <v>0</v>
      </c>
      <c r="J144" s="278">
        <f t="shared" si="14"/>
        <v>0</v>
      </c>
      <c r="K144" s="278">
        <f t="shared" si="14"/>
        <v>0</v>
      </c>
      <c r="L144" s="278">
        <f t="shared" si="14"/>
        <v>0</v>
      </c>
      <c r="M144" s="277">
        <f t="shared" si="14"/>
        <v>0</v>
      </c>
      <c r="N144" s="277">
        <f t="shared" si="14"/>
        <v>0</v>
      </c>
      <c r="O144" s="277">
        <f t="shared" si="14"/>
        <v>0</v>
      </c>
      <c r="P144" s="277">
        <f t="shared" si="14"/>
        <v>0</v>
      </c>
      <c r="Q144" s="278">
        <f t="shared" si="14"/>
        <v>0</v>
      </c>
      <c r="R144" s="278">
        <f t="shared" si="14"/>
        <v>0</v>
      </c>
      <c r="S144" s="278">
        <f t="shared" si="14"/>
        <v>0</v>
      </c>
      <c r="T144" s="278">
        <f t="shared" si="14"/>
        <v>0</v>
      </c>
      <c r="U144" s="277">
        <f t="shared" si="14"/>
        <v>0</v>
      </c>
      <c r="V144" s="277">
        <f t="shared" si="14"/>
        <v>0</v>
      </c>
      <c r="W144" s="277">
        <f t="shared" si="14"/>
        <v>0</v>
      </c>
      <c r="X144" s="277">
        <f t="shared" si="14"/>
        <v>0</v>
      </c>
      <c r="Y144" s="278">
        <f t="shared" si="14"/>
        <v>0</v>
      </c>
      <c r="Z144" s="278">
        <f t="shared" si="14"/>
        <v>0</v>
      </c>
      <c r="AA144" s="278">
        <f t="shared" si="14"/>
        <v>0</v>
      </c>
      <c r="AB144" s="278">
        <f t="shared" si="14"/>
        <v>0</v>
      </c>
      <c r="AC144" s="277">
        <f t="shared" si="14"/>
        <v>0</v>
      </c>
      <c r="AD144" s="277">
        <f t="shared" si="14"/>
        <v>0</v>
      </c>
      <c r="AE144" s="277">
        <f t="shared" si="14"/>
        <v>0</v>
      </c>
      <c r="AF144" s="277">
        <f t="shared" si="14"/>
        <v>0</v>
      </c>
      <c r="AG144" s="278">
        <f t="shared" si="14"/>
        <v>0</v>
      </c>
    </row>
    <row r="145" spans="1:33" s="134" customFormat="1" ht="12.75">
      <c r="A145" s="252" t="s">
        <v>82</v>
      </c>
      <c r="E145" s="248">
        <f t="shared" si="15"/>
        <v>25066.199999999997</v>
      </c>
      <c r="F145" s="248">
        <v>60</v>
      </c>
      <c r="G145" s="277">
        <f t="shared" si="14"/>
        <v>720</v>
      </c>
      <c r="H145" s="277">
        <f t="shared" si="14"/>
        <v>5781.6</v>
      </c>
      <c r="I145" s="278">
        <f t="shared" si="14"/>
        <v>6391.5</v>
      </c>
      <c r="J145" s="278">
        <f t="shared" si="14"/>
        <v>12173.099999999999</v>
      </c>
      <c r="K145" s="278">
        <f t="shared" si="14"/>
        <v>0</v>
      </c>
      <c r="L145" s="278">
        <f t="shared" si="14"/>
        <v>0</v>
      </c>
      <c r="M145" s="277">
        <f t="shared" si="14"/>
        <v>0</v>
      </c>
      <c r="N145" s="277">
        <f t="shared" si="14"/>
        <v>0</v>
      </c>
      <c r="O145" s="277">
        <f t="shared" si="14"/>
        <v>0</v>
      </c>
      <c r="P145" s="277">
        <f t="shared" si="14"/>
        <v>0</v>
      </c>
      <c r="Q145" s="278">
        <f t="shared" si="14"/>
        <v>0</v>
      </c>
      <c r="R145" s="278">
        <f t="shared" si="14"/>
        <v>0</v>
      </c>
      <c r="S145" s="278">
        <f t="shared" si="14"/>
        <v>0</v>
      </c>
      <c r="T145" s="278">
        <f t="shared" si="14"/>
        <v>0</v>
      </c>
      <c r="U145" s="277">
        <f t="shared" si="14"/>
        <v>0</v>
      </c>
      <c r="V145" s="277">
        <f t="shared" si="14"/>
        <v>0</v>
      </c>
      <c r="W145" s="277">
        <f t="shared" si="14"/>
        <v>0</v>
      </c>
      <c r="X145" s="277">
        <f t="shared" si="14"/>
        <v>0</v>
      </c>
      <c r="Y145" s="278">
        <f t="shared" si="14"/>
        <v>0</v>
      </c>
      <c r="Z145" s="278">
        <f t="shared" si="14"/>
        <v>0</v>
      </c>
      <c r="AA145" s="278">
        <f t="shared" si="14"/>
        <v>0</v>
      </c>
      <c r="AB145" s="278">
        <f t="shared" si="14"/>
        <v>0</v>
      </c>
      <c r="AC145" s="277">
        <f t="shared" si="14"/>
        <v>0</v>
      </c>
      <c r="AD145" s="277">
        <f t="shared" si="14"/>
        <v>0</v>
      </c>
      <c r="AE145" s="277">
        <f t="shared" si="14"/>
        <v>0</v>
      </c>
      <c r="AF145" s="277">
        <f t="shared" si="14"/>
        <v>0</v>
      </c>
      <c r="AG145" s="278">
        <f t="shared" si="14"/>
        <v>0</v>
      </c>
    </row>
    <row r="146" spans="1:33" s="134" customFormat="1" ht="12.75">
      <c r="A146" s="252" t="s">
        <v>83</v>
      </c>
      <c r="E146" s="248">
        <f t="shared" si="15"/>
        <v>0</v>
      </c>
      <c r="F146" s="248">
        <v>60</v>
      </c>
      <c r="G146" s="277">
        <f t="shared" si="14"/>
        <v>0</v>
      </c>
      <c r="H146" s="277">
        <f t="shared" si="14"/>
        <v>0</v>
      </c>
      <c r="I146" s="278">
        <f t="shared" si="14"/>
        <v>0</v>
      </c>
      <c r="J146" s="278">
        <f t="shared" si="14"/>
        <v>0</v>
      </c>
      <c r="K146" s="278">
        <f t="shared" si="14"/>
        <v>0</v>
      </c>
      <c r="L146" s="278">
        <f t="shared" si="14"/>
        <v>0</v>
      </c>
      <c r="M146" s="277">
        <f t="shared" si="14"/>
        <v>0</v>
      </c>
      <c r="N146" s="277">
        <f t="shared" si="14"/>
        <v>0</v>
      </c>
      <c r="O146" s="277">
        <f t="shared" si="14"/>
        <v>0</v>
      </c>
      <c r="P146" s="277">
        <f t="shared" si="14"/>
        <v>0</v>
      </c>
      <c r="Q146" s="278">
        <f t="shared" si="14"/>
        <v>0</v>
      </c>
      <c r="R146" s="278">
        <f t="shared" si="14"/>
        <v>0</v>
      </c>
      <c r="S146" s="278">
        <f t="shared" si="14"/>
        <v>0</v>
      </c>
      <c r="T146" s="278">
        <f t="shared" si="14"/>
        <v>0</v>
      </c>
      <c r="U146" s="277">
        <f t="shared" si="14"/>
        <v>0</v>
      </c>
      <c r="V146" s="277">
        <f t="shared" si="14"/>
        <v>0</v>
      </c>
      <c r="W146" s="277">
        <f t="shared" si="14"/>
        <v>0</v>
      </c>
      <c r="X146" s="277">
        <f t="shared" si="14"/>
        <v>0</v>
      </c>
      <c r="Y146" s="278">
        <f t="shared" si="14"/>
        <v>0</v>
      </c>
      <c r="Z146" s="278">
        <f t="shared" si="14"/>
        <v>0</v>
      </c>
      <c r="AA146" s="278">
        <f t="shared" si="14"/>
        <v>0</v>
      </c>
      <c r="AB146" s="278">
        <f t="shared" si="14"/>
        <v>0</v>
      </c>
      <c r="AC146" s="277">
        <f t="shared" si="14"/>
        <v>0</v>
      </c>
      <c r="AD146" s="277">
        <f t="shared" si="14"/>
        <v>0</v>
      </c>
      <c r="AE146" s="277">
        <f t="shared" si="14"/>
        <v>0</v>
      </c>
      <c r="AF146" s="277">
        <f t="shared" si="14"/>
        <v>0</v>
      </c>
      <c r="AG146" s="278">
        <f t="shared" si="14"/>
        <v>0</v>
      </c>
    </row>
    <row r="147" spans="1:33" s="134" customFormat="1" ht="12.75">
      <c r="A147" s="252" t="s">
        <v>84</v>
      </c>
      <c r="E147" s="248">
        <f t="shared" si="15"/>
        <v>59343.899999999994</v>
      </c>
      <c r="F147" s="248">
        <v>70</v>
      </c>
      <c r="G147" s="277">
        <f t="shared" si="14"/>
        <v>6440</v>
      </c>
      <c r="H147" s="277">
        <f t="shared" si="14"/>
        <v>16335.2</v>
      </c>
      <c r="I147" s="278">
        <f t="shared" si="14"/>
        <v>10116.75</v>
      </c>
      <c r="J147" s="278">
        <f t="shared" si="14"/>
        <v>26451.95</v>
      </c>
      <c r="K147" s="278">
        <f t="shared" si="14"/>
        <v>0</v>
      </c>
      <c r="L147" s="278">
        <f t="shared" si="14"/>
        <v>0</v>
      </c>
      <c r="M147" s="277">
        <f t="shared" si="14"/>
        <v>0</v>
      </c>
      <c r="N147" s="277">
        <f t="shared" si="14"/>
        <v>0</v>
      </c>
      <c r="O147" s="277">
        <f t="shared" si="14"/>
        <v>0</v>
      </c>
      <c r="P147" s="277">
        <f t="shared" si="14"/>
        <v>0</v>
      </c>
      <c r="Q147" s="278">
        <f t="shared" si="14"/>
        <v>0</v>
      </c>
      <c r="R147" s="278">
        <f t="shared" si="14"/>
        <v>0</v>
      </c>
      <c r="S147" s="278">
        <f t="shared" si="14"/>
        <v>0</v>
      </c>
      <c r="T147" s="278">
        <f t="shared" si="14"/>
        <v>0</v>
      </c>
      <c r="U147" s="277">
        <f t="shared" si="14"/>
        <v>0</v>
      </c>
      <c r="V147" s="277">
        <f t="shared" si="14"/>
        <v>0</v>
      </c>
      <c r="W147" s="277">
        <f t="shared" si="14"/>
        <v>0</v>
      </c>
      <c r="X147" s="277">
        <f t="shared" si="14"/>
        <v>0</v>
      </c>
      <c r="Y147" s="278">
        <f t="shared" si="14"/>
        <v>0</v>
      </c>
      <c r="Z147" s="278">
        <f t="shared" si="14"/>
        <v>0</v>
      </c>
      <c r="AA147" s="278">
        <f t="shared" si="14"/>
        <v>0</v>
      </c>
      <c r="AB147" s="278">
        <f t="shared" si="14"/>
        <v>0</v>
      </c>
      <c r="AC147" s="277">
        <f t="shared" si="14"/>
        <v>0</v>
      </c>
      <c r="AD147" s="277">
        <f t="shared" si="14"/>
        <v>0</v>
      </c>
      <c r="AE147" s="277">
        <f t="shared" si="14"/>
        <v>0</v>
      </c>
      <c r="AF147" s="277">
        <f t="shared" si="14"/>
        <v>0</v>
      </c>
      <c r="AG147" s="278">
        <f t="shared" si="14"/>
        <v>0</v>
      </c>
    </row>
    <row r="148" spans="1:33" s="134" customFormat="1" ht="12.75">
      <c r="A148" s="252" t="s">
        <v>85</v>
      </c>
      <c r="E148" s="248">
        <f t="shared" si="15"/>
        <v>5246.4</v>
      </c>
      <c r="F148" s="248">
        <v>60</v>
      </c>
      <c r="G148" s="277">
        <f t="shared" si="14"/>
        <v>720</v>
      </c>
      <c r="H148" s="277">
        <f t="shared" si="14"/>
        <v>1131.6</v>
      </c>
      <c r="I148" s="278">
        <f t="shared" si="14"/>
        <v>1131.6</v>
      </c>
      <c r="J148" s="278">
        <f t="shared" si="14"/>
        <v>2263.2</v>
      </c>
      <c r="K148" s="278">
        <f t="shared" si="14"/>
        <v>0</v>
      </c>
      <c r="L148" s="278">
        <f t="shared" si="14"/>
        <v>0</v>
      </c>
      <c r="M148" s="277">
        <f t="shared" si="14"/>
        <v>0</v>
      </c>
      <c r="N148" s="277">
        <f t="shared" si="14"/>
        <v>0</v>
      </c>
      <c r="O148" s="277">
        <f t="shared" si="14"/>
        <v>0</v>
      </c>
      <c r="P148" s="277">
        <f t="shared" si="14"/>
        <v>0</v>
      </c>
      <c r="Q148" s="278">
        <f t="shared" si="14"/>
        <v>0</v>
      </c>
      <c r="R148" s="278">
        <f t="shared" si="14"/>
        <v>0</v>
      </c>
      <c r="S148" s="278">
        <f t="shared" si="14"/>
        <v>0</v>
      </c>
      <c r="T148" s="278">
        <f t="shared" si="14"/>
        <v>0</v>
      </c>
      <c r="U148" s="277">
        <f t="shared" si="14"/>
        <v>0</v>
      </c>
      <c r="V148" s="277">
        <f t="shared" si="14"/>
        <v>0</v>
      </c>
      <c r="W148" s="277">
        <f t="shared" si="14"/>
        <v>0</v>
      </c>
      <c r="X148" s="277">
        <f t="shared" si="14"/>
        <v>0</v>
      </c>
      <c r="Y148" s="278">
        <f t="shared" si="14"/>
        <v>0</v>
      </c>
      <c r="Z148" s="278">
        <f t="shared" si="14"/>
        <v>0</v>
      </c>
      <c r="AA148" s="278">
        <f t="shared" si="14"/>
        <v>0</v>
      </c>
      <c r="AB148" s="278">
        <f t="shared" si="14"/>
        <v>0</v>
      </c>
      <c r="AC148" s="277">
        <f t="shared" si="14"/>
        <v>0</v>
      </c>
      <c r="AD148" s="277">
        <f t="shared" si="14"/>
        <v>0</v>
      </c>
      <c r="AE148" s="277">
        <f t="shared" si="14"/>
        <v>0</v>
      </c>
      <c r="AF148" s="277">
        <f t="shared" si="14"/>
        <v>0</v>
      </c>
      <c r="AG148" s="278">
        <f t="shared" si="14"/>
        <v>0</v>
      </c>
    </row>
    <row r="149" spans="1:33" s="134" customFormat="1" ht="12.75">
      <c r="A149" s="247" t="s">
        <v>58</v>
      </c>
      <c r="E149" s="248"/>
      <c r="F149" s="248"/>
      <c r="G149" s="277"/>
      <c r="H149" s="277"/>
      <c r="I149" s="278"/>
      <c r="J149" s="278"/>
      <c r="K149" s="278"/>
      <c r="L149" s="278"/>
      <c r="M149" s="277"/>
      <c r="N149" s="277"/>
      <c r="O149" s="277"/>
      <c r="P149" s="277"/>
      <c r="Q149" s="278"/>
      <c r="R149" s="278"/>
      <c r="S149" s="278"/>
      <c r="T149" s="278"/>
      <c r="U149" s="277"/>
      <c r="V149" s="277"/>
      <c r="W149" s="277"/>
      <c r="X149" s="277"/>
      <c r="Y149" s="278"/>
      <c r="Z149" s="278"/>
      <c r="AA149" s="278"/>
      <c r="AB149" s="278"/>
      <c r="AC149" s="277"/>
      <c r="AD149" s="277"/>
      <c r="AE149" s="277"/>
      <c r="AF149" s="277"/>
      <c r="AG149" s="278"/>
    </row>
    <row r="150" spans="1:33" s="134" customFormat="1" ht="12.75">
      <c r="A150" s="252" t="s">
        <v>78</v>
      </c>
      <c r="E150" s="248">
        <f aca="true" t="shared" si="16" ref="E150:E157">SUM(G150:AG150)</f>
        <v>49199.37</v>
      </c>
      <c r="F150" s="248">
        <v>87</v>
      </c>
      <c r="G150" s="277">
        <f aca="true" t="shared" si="17" ref="G150:AG157">$F150*G79</f>
        <v>0</v>
      </c>
      <c r="H150" s="277">
        <f t="shared" si="17"/>
        <v>0</v>
      </c>
      <c r="I150" s="278">
        <f t="shared" si="17"/>
        <v>0</v>
      </c>
      <c r="J150" s="278">
        <f t="shared" si="17"/>
        <v>12538.44</v>
      </c>
      <c r="K150" s="278">
        <f t="shared" si="17"/>
        <v>9841.44</v>
      </c>
      <c r="L150" s="278">
        <f t="shared" si="17"/>
        <v>5752.4400000000005</v>
      </c>
      <c r="M150" s="277">
        <f t="shared" si="17"/>
        <v>9928.44</v>
      </c>
      <c r="N150" s="277">
        <f t="shared" si="17"/>
        <v>11138.61</v>
      </c>
      <c r="O150" s="277">
        <f t="shared" si="17"/>
        <v>0</v>
      </c>
      <c r="P150" s="277">
        <f t="shared" si="17"/>
        <v>0</v>
      </c>
      <c r="Q150" s="278">
        <f t="shared" si="17"/>
        <v>0</v>
      </c>
      <c r="R150" s="278">
        <f t="shared" si="17"/>
        <v>0</v>
      </c>
      <c r="S150" s="278">
        <f t="shared" si="17"/>
        <v>0</v>
      </c>
      <c r="T150" s="278">
        <f t="shared" si="17"/>
        <v>0</v>
      </c>
      <c r="U150" s="277">
        <f t="shared" si="17"/>
        <v>0</v>
      </c>
      <c r="V150" s="277">
        <f t="shared" si="17"/>
        <v>0</v>
      </c>
      <c r="W150" s="277">
        <f t="shared" si="17"/>
        <v>0</v>
      </c>
      <c r="X150" s="277">
        <f t="shared" si="17"/>
        <v>0</v>
      </c>
      <c r="Y150" s="278">
        <f t="shared" si="17"/>
        <v>0</v>
      </c>
      <c r="Z150" s="278">
        <f t="shared" si="17"/>
        <v>0</v>
      </c>
      <c r="AA150" s="278">
        <f t="shared" si="17"/>
        <v>0</v>
      </c>
      <c r="AB150" s="278">
        <f t="shared" si="17"/>
        <v>0</v>
      </c>
      <c r="AC150" s="277">
        <f t="shared" si="17"/>
        <v>0</v>
      </c>
      <c r="AD150" s="277">
        <f t="shared" si="17"/>
        <v>0</v>
      </c>
      <c r="AE150" s="277">
        <f t="shared" si="17"/>
        <v>0</v>
      </c>
      <c r="AF150" s="277">
        <f t="shared" si="17"/>
        <v>0</v>
      </c>
      <c r="AG150" s="278">
        <f t="shared" si="17"/>
        <v>0</v>
      </c>
    </row>
    <row r="151" spans="1:33" s="134" customFormat="1" ht="12.75">
      <c r="A151" s="252" t="s">
        <v>79</v>
      </c>
      <c r="E151" s="248">
        <f t="shared" si="16"/>
        <v>0</v>
      </c>
      <c r="F151" s="248">
        <v>0</v>
      </c>
      <c r="G151" s="277">
        <f t="shared" si="17"/>
        <v>0</v>
      </c>
      <c r="H151" s="277">
        <f t="shared" si="17"/>
        <v>0</v>
      </c>
      <c r="I151" s="278">
        <f t="shared" si="17"/>
        <v>0</v>
      </c>
      <c r="J151" s="278">
        <f t="shared" si="17"/>
        <v>0</v>
      </c>
      <c r="K151" s="278">
        <f t="shared" si="17"/>
        <v>0</v>
      </c>
      <c r="L151" s="278">
        <f t="shared" si="17"/>
        <v>0</v>
      </c>
      <c r="M151" s="277">
        <f t="shared" si="17"/>
        <v>0</v>
      </c>
      <c r="N151" s="277">
        <f t="shared" si="17"/>
        <v>0</v>
      </c>
      <c r="O151" s="277">
        <f t="shared" si="17"/>
        <v>0</v>
      </c>
      <c r="P151" s="277">
        <f t="shared" si="17"/>
        <v>0</v>
      </c>
      <c r="Q151" s="278">
        <f t="shared" si="17"/>
        <v>0</v>
      </c>
      <c r="R151" s="278">
        <f t="shared" si="17"/>
        <v>0</v>
      </c>
      <c r="S151" s="278">
        <f t="shared" si="17"/>
        <v>0</v>
      </c>
      <c r="T151" s="278">
        <f t="shared" si="17"/>
        <v>0</v>
      </c>
      <c r="U151" s="277">
        <f t="shared" si="17"/>
        <v>0</v>
      </c>
      <c r="V151" s="277">
        <f t="shared" si="17"/>
        <v>0</v>
      </c>
      <c r="W151" s="277">
        <f t="shared" si="17"/>
        <v>0</v>
      </c>
      <c r="X151" s="277">
        <f t="shared" si="17"/>
        <v>0</v>
      </c>
      <c r="Y151" s="278">
        <f t="shared" si="17"/>
        <v>0</v>
      </c>
      <c r="Z151" s="278">
        <f t="shared" si="17"/>
        <v>0</v>
      </c>
      <c r="AA151" s="278">
        <f t="shared" si="17"/>
        <v>0</v>
      </c>
      <c r="AB151" s="278">
        <f t="shared" si="17"/>
        <v>0</v>
      </c>
      <c r="AC151" s="277">
        <f t="shared" si="17"/>
        <v>0</v>
      </c>
      <c r="AD151" s="277">
        <f t="shared" si="17"/>
        <v>0</v>
      </c>
      <c r="AE151" s="277">
        <f t="shared" si="17"/>
        <v>0</v>
      </c>
      <c r="AF151" s="277">
        <f t="shared" si="17"/>
        <v>0</v>
      </c>
      <c r="AG151" s="278">
        <f t="shared" si="17"/>
        <v>0</v>
      </c>
    </row>
    <row r="152" spans="1:33" s="134" customFormat="1" ht="12.75">
      <c r="A152" s="252" t="s">
        <v>80</v>
      </c>
      <c r="E152" s="248">
        <f t="shared" si="16"/>
        <v>0</v>
      </c>
      <c r="F152" s="248">
        <v>0</v>
      </c>
      <c r="G152" s="277">
        <f t="shared" si="17"/>
        <v>0</v>
      </c>
      <c r="H152" s="277">
        <f t="shared" si="17"/>
        <v>0</v>
      </c>
      <c r="I152" s="278">
        <f t="shared" si="17"/>
        <v>0</v>
      </c>
      <c r="J152" s="278">
        <f t="shared" si="17"/>
        <v>0</v>
      </c>
      <c r="K152" s="278">
        <f t="shared" si="17"/>
        <v>0</v>
      </c>
      <c r="L152" s="278">
        <f t="shared" si="17"/>
        <v>0</v>
      </c>
      <c r="M152" s="277">
        <f t="shared" si="17"/>
        <v>0</v>
      </c>
      <c r="N152" s="277">
        <f t="shared" si="17"/>
        <v>0</v>
      </c>
      <c r="O152" s="277">
        <f t="shared" si="17"/>
        <v>0</v>
      </c>
      <c r="P152" s="277">
        <f t="shared" si="17"/>
        <v>0</v>
      </c>
      <c r="Q152" s="278">
        <f t="shared" si="17"/>
        <v>0</v>
      </c>
      <c r="R152" s="278">
        <f t="shared" si="17"/>
        <v>0</v>
      </c>
      <c r="S152" s="278">
        <f t="shared" si="17"/>
        <v>0</v>
      </c>
      <c r="T152" s="278">
        <f t="shared" si="17"/>
        <v>0</v>
      </c>
      <c r="U152" s="277">
        <f t="shared" si="17"/>
        <v>0</v>
      </c>
      <c r="V152" s="277">
        <f t="shared" si="17"/>
        <v>0</v>
      </c>
      <c r="W152" s="277">
        <f t="shared" si="17"/>
        <v>0</v>
      </c>
      <c r="X152" s="277">
        <f t="shared" si="17"/>
        <v>0</v>
      </c>
      <c r="Y152" s="278">
        <f t="shared" si="17"/>
        <v>0</v>
      </c>
      <c r="Z152" s="278">
        <f t="shared" si="17"/>
        <v>0</v>
      </c>
      <c r="AA152" s="278">
        <f t="shared" si="17"/>
        <v>0</v>
      </c>
      <c r="AB152" s="278">
        <f t="shared" si="17"/>
        <v>0</v>
      </c>
      <c r="AC152" s="277">
        <f t="shared" si="17"/>
        <v>0</v>
      </c>
      <c r="AD152" s="277">
        <f t="shared" si="17"/>
        <v>0</v>
      </c>
      <c r="AE152" s="277">
        <f t="shared" si="17"/>
        <v>0</v>
      </c>
      <c r="AF152" s="277">
        <f t="shared" si="17"/>
        <v>0</v>
      </c>
      <c r="AG152" s="278">
        <f t="shared" si="17"/>
        <v>0</v>
      </c>
    </row>
    <row r="153" spans="1:33" s="134" customFormat="1" ht="12.75">
      <c r="A153" s="252" t="s">
        <v>81</v>
      </c>
      <c r="E153" s="248">
        <f t="shared" si="16"/>
        <v>0</v>
      </c>
      <c r="F153" s="248">
        <v>0</v>
      </c>
      <c r="G153" s="277">
        <f t="shared" si="17"/>
        <v>0</v>
      </c>
      <c r="H153" s="277">
        <f t="shared" si="17"/>
        <v>0</v>
      </c>
      <c r="I153" s="278">
        <f t="shared" si="17"/>
        <v>0</v>
      </c>
      <c r="J153" s="278">
        <f t="shared" si="17"/>
        <v>0</v>
      </c>
      <c r="K153" s="278">
        <f t="shared" si="17"/>
        <v>0</v>
      </c>
      <c r="L153" s="278">
        <f t="shared" si="17"/>
        <v>0</v>
      </c>
      <c r="M153" s="277">
        <f t="shared" si="17"/>
        <v>0</v>
      </c>
      <c r="N153" s="277">
        <f t="shared" si="17"/>
        <v>0</v>
      </c>
      <c r="O153" s="277">
        <f t="shared" si="17"/>
        <v>0</v>
      </c>
      <c r="P153" s="277">
        <f t="shared" si="17"/>
        <v>0</v>
      </c>
      <c r="Q153" s="278">
        <f t="shared" si="17"/>
        <v>0</v>
      </c>
      <c r="R153" s="278">
        <f t="shared" si="17"/>
        <v>0</v>
      </c>
      <c r="S153" s="278">
        <f t="shared" si="17"/>
        <v>0</v>
      </c>
      <c r="T153" s="278">
        <f t="shared" si="17"/>
        <v>0</v>
      </c>
      <c r="U153" s="277">
        <f t="shared" si="17"/>
        <v>0</v>
      </c>
      <c r="V153" s="277">
        <f t="shared" si="17"/>
        <v>0</v>
      </c>
      <c r="W153" s="277">
        <f t="shared" si="17"/>
        <v>0</v>
      </c>
      <c r="X153" s="277">
        <f t="shared" si="17"/>
        <v>0</v>
      </c>
      <c r="Y153" s="278">
        <f t="shared" si="17"/>
        <v>0</v>
      </c>
      <c r="Z153" s="278">
        <f t="shared" si="17"/>
        <v>0</v>
      </c>
      <c r="AA153" s="278">
        <f t="shared" si="17"/>
        <v>0</v>
      </c>
      <c r="AB153" s="278">
        <f t="shared" si="17"/>
        <v>0</v>
      </c>
      <c r="AC153" s="277">
        <f t="shared" si="17"/>
        <v>0</v>
      </c>
      <c r="AD153" s="277">
        <f t="shared" si="17"/>
        <v>0</v>
      </c>
      <c r="AE153" s="277">
        <f t="shared" si="17"/>
        <v>0</v>
      </c>
      <c r="AF153" s="277">
        <f t="shared" si="17"/>
        <v>0</v>
      </c>
      <c r="AG153" s="278">
        <f t="shared" si="17"/>
        <v>0</v>
      </c>
    </row>
    <row r="154" spans="1:33" s="134" customFormat="1" ht="12.75">
      <c r="A154" s="252" t="s">
        <v>82</v>
      </c>
      <c r="E154" s="248">
        <f t="shared" si="16"/>
        <v>52275</v>
      </c>
      <c r="F154" s="248">
        <v>60</v>
      </c>
      <c r="G154" s="277">
        <f t="shared" si="17"/>
        <v>0</v>
      </c>
      <c r="H154" s="277">
        <f t="shared" si="17"/>
        <v>0</v>
      </c>
      <c r="I154" s="278">
        <f t="shared" si="17"/>
        <v>0</v>
      </c>
      <c r="J154" s="278">
        <f t="shared" si="17"/>
        <v>3553.7999999999997</v>
      </c>
      <c r="K154" s="278">
        <f t="shared" si="17"/>
        <v>7828.799999999999</v>
      </c>
      <c r="L154" s="278">
        <f t="shared" si="17"/>
        <v>18103.2</v>
      </c>
      <c r="M154" s="277">
        <f t="shared" si="17"/>
        <v>18103.2</v>
      </c>
      <c r="N154" s="277">
        <f t="shared" si="17"/>
        <v>4686</v>
      </c>
      <c r="O154" s="277">
        <f t="shared" si="17"/>
        <v>0</v>
      </c>
      <c r="P154" s="277">
        <f t="shared" si="17"/>
        <v>0</v>
      </c>
      <c r="Q154" s="278">
        <f t="shared" si="17"/>
        <v>0</v>
      </c>
      <c r="R154" s="278">
        <f t="shared" si="17"/>
        <v>0</v>
      </c>
      <c r="S154" s="278">
        <f t="shared" si="17"/>
        <v>0</v>
      </c>
      <c r="T154" s="278">
        <f t="shared" si="17"/>
        <v>0</v>
      </c>
      <c r="U154" s="277">
        <f t="shared" si="17"/>
        <v>0</v>
      </c>
      <c r="V154" s="277">
        <f t="shared" si="17"/>
        <v>0</v>
      </c>
      <c r="W154" s="277">
        <f t="shared" si="17"/>
        <v>0</v>
      </c>
      <c r="X154" s="277">
        <f t="shared" si="17"/>
        <v>0</v>
      </c>
      <c r="Y154" s="278">
        <f t="shared" si="17"/>
        <v>0</v>
      </c>
      <c r="Z154" s="278">
        <f t="shared" si="17"/>
        <v>0</v>
      </c>
      <c r="AA154" s="278">
        <f t="shared" si="17"/>
        <v>0</v>
      </c>
      <c r="AB154" s="278">
        <f t="shared" si="17"/>
        <v>0</v>
      </c>
      <c r="AC154" s="277">
        <f t="shared" si="17"/>
        <v>0</v>
      </c>
      <c r="AD154" s="277">
        <f t="shared" si="17"/>
        <v>0</v>
      </c>
      <c r="AE154" s="277">
        <f t="shared" si="17"/>
        <v>0</v>
      </c>
      <c r="AF154" s="277">
        <f t="shared" si="17"/>
        <v>0</v>
      </c>
      <c r="AG154" s="278">
        <f t="shared" si="17"/>
        <v>0</v>
      </c>
    </row>
    <row r="155" spans="1:33" s="134" customFormat="1" ht="12.75">
      <c r="A155" s="252" t="s">
        <v>83</v>
      </c>
      <c r="E155" s="248">
        <f t="shared" si="16"/>
        <v>8280</v>
      </c>
      <c r="F155" s="248">
        <v>60</v>
      </c>
      <c r="G155" s="277">
        <f t="shared" si="17"/>
        <v>0</v>
      </c>
      <c r="H155" s="277">
        <f t="shared" si="17"/>
        <v>0</v>
      </c>
      <c r="I155" s="278">
        <f t="shared" si="17"/>
        <v>0</v>
      </c>
      <c r="J155" s="278">
        <f t="shared" si="17"/>
        <v>0</v>
      </c>
      <c r="K155" s="278">
        <f t="shared" si="17"/>
        <v>0</v>
      </c>
      <c r="L155" s="278">
        <f t="shared" si="17"/>
        <v>0</v>
      </c>
      <c r="M155" s="277">
        <f t="shared" si="17"/>
        <v>7200</v>
      </c>
      <c r="N155" s="277">
        <f t="shared" si="17"/>
        <v>1080</v>
      </c>
      <c r="O155" s="277">
        <f t="shared" si="17"/>
        <v>0</v>
      </c>
      <c r="P155" s="277">
        <f t="shared" si="17"/>
        <v>0</v>
      </c>
      <c r="Q155" s="278">
        <f t="shared" si="17"/>
        <v>0</v>
      </c>
      <c r="R155" s="278">
        <f t="shared" si="17"/>
        <v>0</v>
      </c>
      <c r="S155" s="278">
        <f t="shared" si="17"/>
        <v>0</v>
      </c>
      <c r="T155" s="278">
        <f t="shared" si="17"/>
        <v>0</v>
      </c>
      <c r="U155" s="277">
        <f t="shared" si="17"/>
        <v>0</v>
      </c>
      <c r="V155" s="277">
        <f t="shared" si="17"/>
        <v>0</v>
      </c>
      <c r="W155" s="277">
        <f t="shared" si="17"/>
        <v>0</v>
      </c>
      <c r="X155" s="277">
        <f t="shared" si="17"/>
        <v>0</v>
      </c>
      <c r="Y155" s="278">
        <f t="shared" si="17"/>
        <v>0</v>
      </c>
      <c r="Z155" s="278">
        <f t="shared" si="17"/>
        <v>0</v>
      </c>
      <c r="AA155" s="278">
        <f t="shared" si="17"/>
        <v>0</v>
      </c>
      <c r="AB155" s="278">
        <f t="shared" si="17"/>
        <v>0</v>
      </c>
      <c r="AC155" s="277">
        <f t="shared" si="17"/>
        <v>0</v>
      </c>
      <c r="AD155" s="277">
        <f t="shared" si="17"/>
        <v>0</v>
      </c>
      <c r="AE155" s="277">
        <f t="shared" si="17"/>
        <v>0</v>
      </c>
      <c r="AF155" s="277">
        <f t="shared" si="17"/>
        <v>0</v>
      </c>
      <c r="AG155" s="278">
        <f t="shared" si="17"/>
        <v>0</v>
      </c>
    </row>
    <row r="156" spans="1:33" s="134" customFormat="1" ht="12.75">
      <c r="A156" s="252" t="s">
        <v>84</v>
      </c>
      <c r="E156" s="248">
        <f t="shared" si="16"/>
        <v>60987.49999999999</v>
      </c>
      <c r="F156" s="248">
        <v>70</v>
      </c>
      <c r="G156" s="277">
        <f t="shared" si="17"/>
        <v>0</v>
      </c>
      <c r="H156" s="277">
        <f t="shared" si="17"/>
        <v>0</v>
      </c>
      <c r="I156" s="278">
        <f t="shared" si="17"/>
        <v>0</v>
      </c>
      <c r="J156" s="278">
        <f t="shared" si="17"/>
        <v>20479.899999999998</v>
      </c>
      <c r="K156" s="278">
        <f t="shared" si="17"/>
        <v>20800.5</v>
      </c>
      <c r="L156" s="278">
        <f t="shared" si="17"/>
        <v>12906.6</v>
      </c>
      <c r="M156" s="277">
        <f t="shared" si="17"/>
        <v>2640.4</v>
      </c>
      <c r="N156" s="277">
        <f t="shared" si="17"/>
        <v>4160.1</v>
      </c>
      <c r="O156" s="277">
        <f t="shared" si="17"/>
        <v>0</v>
      </c>
      <c r="P156" s="277">
        <f t="shared" si="17"/>
        <v>0</v>
      </c>
      <c r="Q156" s="278">
        <f t="shared" si="17"/>
        <v>0</v>
      </c>
      <c r="R156" s="278">
        <f t="shared" si="17"/>
        <v>0</v>
      </c>
      <c r="S156" s="278">
        <f t="shared" si="17"/>
        <v>0</v>
      </c>
      <c r="T156" s="278">
        <f t="shared" si="17"/>
        <v>0</v>
      </c>
      <c r="U156" s="277">
        <f t="shared" si="17"/>
        <v>0</v>
      </c>
      <c r="V156" s="277">
        <f t="shared" si="17"/>
        <v>0</v>
      </c>
      <c r="W156" s="277">
        <f t="shared" si="17"/>
        <v>0</v>
      </c>
      <c r="X156" s="277">
        <f t="shared" si="17"/>
        <v>0</v>
      </c>
      <c r="Y156" s="278">
        <f t="shared" si="17"/>
        <v>0</v>
      </c>
      <c r="Z156" s="278">
        <f t="shared" si="17"/>
        <v>0</v>
      </c>
      <c r="AA156" s="278">
        <f t="shared" si="17"/>
        <v>0</v>
      </c>
      <c r="AB156" s="278">
        <f t="shared" si="17"/>
        <v>0</v>
      </c>
      <c r="AC156" s="277">
        <f t="shared" si="17"/>
        <v>0</v>
      </c>
      <c r="AD156" s="277">
        <f t="shared" si="17"/>
        <v>0</v>
      </c>
      <c r="AE156" s="277">
        <f t="shared" si="17"/>
        <v>0</v>
      </c>
      <c r="AF156" s="277">
        <f t="shared" si="17"/>
        <v>0</v>
      </c>
      <c r="AG156" s="278">
        <f t="shared" si="17"/>
        <v>0</v>
      </c>
    </row>
    <row r="157" spans="1:33" s="134" customFormat="1" ht="12.75">
      <c r="A157" s="252" t="s">
        <v>85</v>
      </c>
      <c r="E157" s="248">
        <f t="shared" si="16"/>
        <v>20315.4</v>
      </c>
      <c r="F157" s="248">
        <v>60</v>
      </c>
      <c r="G157" s="277">
        <f t="shared" si="17"/>
        <v>0</v>
      </c>
      <c r="H157" s="277">
        <f t="shared" si="17"/>
        <v>0</v>
      </c>
      <c r="I157" s="278">
        <f t="shared" si="17"/>
        <v>0</v>
      </c>
      <c r="J157" s="278">
        <f t="shared" si="17"/>
        <v>2194.2</v>
      </c>
      <c r="K157" s="278">
        <f t="shared" si="17"/>
        <v>2229</v>
      </c>
      <c r="L157" s="278">
        <f t="shared" si="17"/>
        <v>2263.2</v>
      </c>
      <c r="M157" s="277">
        <f t="shared" si="17"/>
        <v>10743</v>
      </c>
      <c r="N157" s="277">
        <f t="shared" si="17"/>
        <v>2886</v>
      </c>
      <c r="O157" s="277">
        <f t="shared" si="17"/>
        <v>0</v>
      </c>
      <c r="P157" s="277">
        <f t="shared" si="17"/>
        <v>0</v>
      </c>
      <c r="Q157" s="278">
        <f t="shared" si="17"/>
        <v>0</v>
      </c>
      <c r="R157" s="278">
        <f t="shared" si="17"/>
        <v>0</v>
      </c>
      <c r="S157" s="278">
        <f t="shared" si="17"/>
        <v>0</v>
      </c>
      <c r="T157" s="278">
        <f t="shared" si="17"/>
        <v>0</v>
      </c>
      <c r="U157" s="277">
        <f t="shared" si="17"/>
        <v>0</v>
      </c>
      <c r="V157" s="277">
        <f t="shared" si="17"/>
        <v>0</v>
      </c>
      <c r="W157" s="277">
        <f t="shared" si="17"/>
        <v>0</v>
      </c>
      <c r="X157" s="277">
        <f t="shared" si="17"/>
        <v>0</v>
      </c>
      <c r="Y157" s="278">
        <f t="shared" si="17"/>
        <v>0</v>
      </c>
      <c r="Z157" s="278">
        <f t="shared" si="17"/>
        <v>0</v>
      </c>
      <c r="AA157" s="278">
        <f t="shared" si="17"/>
        <v>0</v>
      </c>
      <c r="AB157" s="278">
        <f t="shared" si="17"/>
        <v>0</v>
      </c>
      <c r="AC157" s="277">
        <f t="shared" si="17"/>
        <v>0</v>
      </c>
      <c r="AD157" s="277">
        <f t="shared" si="17"/>
        <v>0</v>
      </c>
      <c r="AE157" s="277">
        <f t="shared" si="17"/>
        <v>0</v>
      </c>
      <c r="AF157" s="277">
        <f t="shared" si="17"/>
        <v>0</v>
      </c>
      <c r="AG157" s="278">
        <f t="shared" si="17"/>
        <v>0</v>
      </c>
    </row>
    <row r="158" spans="1:33" s="134" customFormat="1" ht="12.75">
      <c r="A158" s="247" t="s">
        <v>59</v>
      </c>
      <c r="E158" s="248"/>
      <c r="F158" s="248"/>
      <c r="G158" s="277"/>
      <c r="H158" s="277"/>
      <c r="I158" s="278"/>
      <c r="J158" s="278"/>
      <c r="K158" s="278"/>
      <c r="L158" s="278"/>
      <c r="M158" s="277"/>
      <c r="N158" s="277"/>
      <c r="O158" s="277"/>
      <c r="P158" s="277"/>
      <c r="Q158" s="278"/>
      <c r="R158" s="278"/>
      <c r="S158" s="278"/>
      <c r="T158" s="278"/>
      <c r="U158" s="277"/>
      <c r="V158" s="277"/>
      <c r="W158" s="277"/>
      <c r="X158" s="277"/>
      <c r="Y158" s="278"/>
      <c r="Z158" s="278"/>
      <c r="AA158" s="278"/>
      <c r="AB158" s="278"/>
      <c r="AC158" s="277"/>
      <c r="AD158" s="277"/>
      <c r="AE158" s="277"/>
      <c r="AF158" s="277"/>
      <c r="AG158" s="278"/>
    </row>
    <row r="159" spans="1:33" s="134" customFormat="1" ht="12.75">
      <c r="A159" s="252" t="s">
        <v>78</v>
      </c>
      <c r="E159" s="248">
        <f aca="true" t="shared" si="18" ref="E159:E172">SUM(G159:AG159)</f>
        <v>103597.85999999999</v>
      </c>
      <c r="F159" s="248">
        <v>87</v>
      </c>
      <c r="G159" s="277">
        <f aca="true" t="shared" si="19" ref="G159:AG168">$F159*G88</f>
        <v>16857.337499999998</v>
      </c>
      <c r="H159" s="277">
        <f t="shared" si="19"/>
        <v>16857.337499999998</v>
      </c>
      <c r="I159" s="278">
        <f t="shared" si="19"/>
        <v>34941.5925</v>
      </c>
      <c r="J159" s="278">
        <f t="shared" si="19"/>
        <v>34941.5925</v>
      </c>
      <c r="K159" s="278">
        <f t="shared" si="19"/>
        <v>0</v>
      </c>
      <c r="L159" s="278">
        <f t="shared" si="19"/>
        <v>0</v>
      </c>
      <c r="M159" s="277">
        <f t="shared" si="19"/>
        <v>0</v>
      </c>
      <c r="N159" s="277">
        <f t="shared" si="19"/>
        <v>0</v>
      </c>
      <c r="O159" s="277">
        <f t="shared" si="19"/>
        <v>0</v>
      </c>
      <c r="P159" s="277">
        <f t="shared" si="19"/>
        <v>0</v>
      </c>
      <c r="Q159" s="278">
        <f t="shared" si="19"/>
        <v>0</v>
      </c>
      <c r="R159" s="278">
        <f t="shared" si="19"/>
        <v>0</v>
      </c>
      <c r="S159" s="278">
        <f t="shared" si="19"/>
        <v>0</v>
      </c>
      <c r="T159" s="278">
        <f t="shared" si="19"/>
        <v>0</v>
      </c>
      <c r="U159" s="277">
        <f t="shared" si="19"/>
        <v>0</v>
      </c>
      <c r="V159" s="277">
        <f t="shared" si="19"/>
        <v>0</v>
      </c>
      <c r="W159" s="277">
        <f t="shared" si="19"/>
        <v>0</v>
      </c>
      <c r="X159" s="277">
        <f t="shared" si="19"/>
        <v>0</v>
      </c>
      <c r="Y159" s="278">
        <f t="shared" si="19"/>
        <v>0</v>
      </c>
      <c r="Z159" s="278">
        <f t="shared" si="19"/>
        <v>0</v>
      </c>
      <c r="AA159" s="278">
        <f t="shared" si="19"/>
        <v>0</v>
      </c>
      <c r="AB159" s="278">
        <f t="shared" si="19"/>
        <v>0</v>
      </c>
      <c r="AC159" s="277">
        <f t="shared" si="19"/>
        <v>0</v>
      </c>
      <c r="AD159" s="277">
        <f t="shared" si="19"/>
        <v>0</v>
      </c>
      <c r="AE159" s="277">
        <f t="shared" si="19"/>
        <v>0</v>
      </c>
      <c r="AF159" s="277">
        <f t="shared" si="19"/>
        <v>0</v>
      </c>
      <c r="AG159" s="278">
        <f t="shared" si="19"/>
        <v>0</v>
      </c>
    </row>
    <row r="160" spans="1:33" s="134" customFormat="1" ht="12.75">
      <c r="A160" s="252" t="s">
        <v>79</v>
      </c>
      <c r="E160" s="248">
        <f t="shared" si="18"/>
        <v>0</v>
      </c>
      <c r="F160" s="248">
        <v>0</v>
      </c>
      <c r="G160" s="277">
        <f t="shared" si="19"/>
        <v>0</v>
      </c>
      <c r="H160" s="277">
        <f t="shared" si="19"/>
        <v>0</v>
      </c>
      <c r="I160" s="278">
        <f t="shared" si="19"/>
        <v>0</v>
      </c>
      <c r="J160" s="278">
        <f t="shared" si="19"/>
        <v>0</v>
      </c>
      <c r="K160" s="278">
        <f t="shared" si="19"/>
        <v>0</v>
      </c>
      <c r="L160" s="278">
        <f t="shared" si="19"/>
        <v>0</v>
      </c>
      <c r="M160" s="277">
        <f t="shared" si="19"/>
        <v>0</v>
      </c>
      <c r="N160" s="277">
        <f t="shared" si="19"/>
        <v>0</v>
      </c>
      <c r="O160" s="277">
        <f t="shared" si="19"/>
        <v>0</v>
      </c>
      <c r="P160" s="277">
        <f t="shared" si="19"/>
        <v>0</v>
      </c>
      <c r="Q160" s="278">
        <f t="shared" si="19"/>
        <v>0</v>
      </c>
      <c r="R160" s="278">
        <f t="shared" si="19"/>
        <v>0</v>
      </c>
      <c r="S160" s="278">
        <f t="shared" si="19"/>
        <v>0</v>
      </c>
      <c r="T160" s="278">
        <f t="shared" si="19"/>
        <v>0</v>
      </c>
      <c r="U160" s="277">
        <f t="shared" si="19"/>
        <v>0</v>
      </c>
      <c r="V160" s="277">
        <f t="shared" si="19"/>
        <v>0</v>
      </c>
      <c r="W160" s="277">
        <f t="shared" si="19"/>
        <v>0</v>
      </c>
      <c r="X160" s="277">
        <f t="shared" si="19"/>
        <v>0</v>
      </c>
      <c r="Y160" s="278">
        <f t="shared" si="19"/>
        <v>0</v>
      </c>
      <c r="Z160" s="278">
        <f t="shared" si="19"/>
        <v>0</v>
      </c>
      <c r="AA160" s="278">
        <f t="shared" si="19"/>
        <v>0</v>
      </c>
      <c r="AB160" s="278">
        <f t="shared" si="19"/>
        <v>0</v>
      </c>
      <c r="AC160" s="277">
        <f t="shared" si="19"/>
        <v>0</v>
      </c>
      <c r="AD160" s="277">
        <f t="shared" si="19"/>
        <v>0</v>
      </c>
      <c r="AE160" s="277">
        <f t="shared" si="19"/>
        <v>0</v>
      </c>
      <c r="AF160" s="277">
        <f t="shared" si="19"/>
        <v>0</v>
      </c>
      <c r="AG160" s="278">
        <f t="shared" si="19"/>
        <v>0</v>
      </c>
    </row>
    <row r="161" spans="1:33" s="134" customFormat="1" ht="12.75">
      <c r="A161" s="252" t="s">
        <v>81</v>
      </c>
      <c r="E161" s="248">
        <f t="shared" si="18"/>
        <v>0</v>
      </c>
      <c r="F161" s="248">
        <v>0</v>
      </c>
      <c r="G161" s="277">
        <f t="shared" si="19"/>
        <v>0</v>
      </c>
      <c r="H161" s="277">
        <f t="shared" si="19"/>
        <v>0</v>
      </c>
      <c r="I161" s="278">
        <f t="shared" si="19"/>
        <v>0</v>
      </c>
      <c r="J161" s="278">
        <f t="shared" si="19"/>
        <v>0</v>
      </c>
      <c r="K161" s="278">
        <f t="shared" si="19"/>
        <v>0</v>
      </c>
      <c r="L161" s="278">
        <f t="shared" si="19"/>
        <v>0</v>
      </c>
      <c r="M161" s="277">
        <f t="shared" si="19"/>
        <v>0</v>
      </c>
      <c r="N161" s="277">
        <f t="shared" si="19"/>
        <v>0</v>
      </c>
      <c r="O161" s="277">
        <f t="shared" si="19"/>
        <v>0</v>
      </c>
      <c r="P161" s="277">
        <f t="shared" si="19"/>
        <v>0</v>
      </c>
      <c r="Q161" s="278">
        <f t="shared" si="19"/>
        <v>0</v>
      </c>
      <c r="R161" s="278">
        <f t="shared" si="19"/>
        <v>0</v>
      </c>
      <c r="S161" s="278">
        <f t="shared" si="19"/>
        <v>0</v>
      </c>
      <c r="T161" s="278">
        <f t="shared" si="19"/>
        <v>0</v>
      </c>
      <c r="U161" s="277">
        <f t="shared" si="19"/>
        <v>0</v>
      </c>
      <c r="V161" s="277">
        <f t="shared" si="19"/>
        <v>0</v>
      </c>
      <c r="W161" s="277">
        <f t="shared" si="19"/>
        <v>0</v>
      </c>
      <c r="X161" s="277">
        <f t="shared" si="19"/>
        <v>0</v>
      </c>
      <c r="Y161" s="278">
        <f t="shared" si="19"/>
        <v>0</v>
      </c>
      <c r="Z161" s="278">
        <f t="shared" si="19"/>
        <v>0</v>
      </c>
      <c r="AA161" s="278">
        <f t="shared" si="19"/>
        <v>0</v>
      </c>
      <c r="AB161" s="278">
        <f t="shared" si="19"/>
        <v>0</v>
      </c>
      <c r="AC161" s="277">
        <f t="shared" si="19"/>
        <v>0</v>
      </c>
      <c r="AD161" s="277">
        <f t="shared" si="19"/>
        <v>0</v>
      </c>
      <c r="AE161" s="277">
        <f t="shared" si="19"/>
        <v>0</v>
      </c>
      <c r="AF161" s="277">
        <f t="shared" si="19"/>
        <v>0</v>
      </c>
      <c r="AG161" s="278">
        <f t="shared" si="19"/>
        <v>0</v>
      </c>
    </row>
    <row r="162" spans="1:33" s="134" customFormat="1" ht="12.75">
      <c r="A162" s="252" t="s">
        <v>84</v>
      </c>
      <c r="E162" s="248">
        <f t="shared" si="18"/>
        <v>74666.9</v>
      </c>
      <c r="F162" s="248">
        <v>70</v>
      </c>
      <c r="G162" s="277">
        <f t="shared" si="19"/>
        <v>15330</v>
      </c>
      <c r="H162" s="277">
        <f t="shared" si="19"/>
        <v>15330</v>
      </c>
      <c r="I162" s="278">
        <f t="shared" si="19"/>
        <v>22003.449999999997</v>
      </c>
      <c r="J162" s="278">
        <f t="shared" si="19"/>
        <v>22003.449999999997</v>
      </c>
      <c r="K162" s="278">
        <f t="shared" si="19"/>
        <v>0</v>
      </c>
      <c r="L162" s="278">
        <f t="shared" si="19"/>
        <v>0</v>
      </c>
      <c r="M162" s="277">
        <f t="shared" si="19"/>
        <v>0</v>
      </c>
      <c r="N162" s="277">
        <f t="shared" si="19"/>
        <v>0</v>
      </c>
      <c r="O162" s="277">
        <f t="shared" si="19"/>
        <v>0</v>
      </c>
      <c r="P162" s="277">
        <f t="shared" si="19"/>
        <v>0</v>
      </c>
      <c r="Q162" s="278">
        <f t="shared" si="19"/>
        <v>0</v>
      </c>
      <c r="R162" s="278">
        <f t="shared" si="19"/>
        <v>0</v>
      </c>
      <c r="S162" s="278">
        <f t="shared" si="19"/>
        <v>0</v>
      </c>
      <c r="T162" s="278">
        <f t="shared" si="19"/>
        <v>0</v>
      </c>
      <c r="U162" s="277">
        <f t="shared" si="19"/>
        <v>0</v>
      </c>
      <c r="V162" s="277">
        <f t="shared" si="19"/>
        <v>0</v>
      </c>
      <c r="W162" s="277">
        <f t="shared" si="19"/>
        <v>0</v>
      </c>
      <c r="X162" s="277">
        <f t="shared" si="19"/>
        <v>0</v>
      </c>
      <c r="Y162" s="278">
        <f t="shared" si="19"/>
        <v>0</v>
      </c>
      <c r="Z162" s="278">
        <f t="shared" si="19"/>
        <v>0</v>
      </c>
      <c r="AA162" s="278">
        <f t="shared" si="19"/>
        <v>0</v>
      </c>
      <c r="AB162" s="278">
        <f t="shared" si="19"/>
        <v>0</v>
      </c>
      <c r="AC162" s="277">
        <f t="shared" si="19"/>
        <v>0</v>
      </c>
      <c r="AD162" s="277">
        <f t="shared" si="19"/>
        <v>0</v>
      </c>
      <c r="AE162" s="277">
        <f t="shared" si="19"/>
        <v>0</v>
      </c>
      <c r="AF162" s="277">
        <f t="shared" si="19"/>
        <v>0</v>
      </c>
      <c r="AG162" s="278">
        <f t="shared" si="19"/>
        <v>0</v>
      </c>
    </row>
    <row r="163" spans="1:33" s="134" customFormat="1" ht="12.75">
      <c r="A163" s="252" t="s">
        <v>86</v>
      </c>
      <c r="E163" s="248">
        <f t="shared" si="18"/>
        <v>71156.4</v>
      </c>
      <c r="F163" s="248">
        <v>70</v>
      </c>
      <c r="G163" s="277">
        <f t="shared" si="19"/>
        <v>10644.725</v>
      </c>
      <c r="H163" s="277">
        <f t="shared" si="19"/>
        <v>10644.725</v>
      </c>
      <c r="I163" s="278">
        <f t="shared" si="19"/>
        <v>24933.475</v>
      </c>
      <c r="J163" s="278">
        <f t="shared" si="19"/>
        <v>24933.475</v>
      </c>
      <c r="K163" s="278">
        <f t="shared" si="19"/>
        <v>0</v>
      </c>
      <c r="L163" s="278">
        <f t="shared" si="19"/>
        <v>0</v>
      </c>
      <c r="M163" s="277">
        <f t="shared" si="19"/>
        <v>0</v>
      </c>
      <c r="N163" s="277">
        <f t="shared" si="19"/>
        <v>0</v>
      </c>
      <c r="O163" s="277">
        <f t="shared" si="19"/>
        <v>0</v>
      </c>
      <c r="P163" s="277">
        <f t="shared" si="19"/>
        <v>0</v>
      </c>
      <c r="Q163" s="278">
        <f t="shared" si="19"/>
        <v>0</v>
      </c>
      <c r="R163" s="278">
        <f t="shared" si="19"/>
        <v>0</v>
      </c>
      <c r="S163" s="278">
        <f t="shared" si="19"/>
        <v>0</v>
      </c>
      <c r="T163" s="278">
        <f t="shared" si="19"/>
        <v>0</v>
      </c>
      <c r="U163" s="277">
        <f t="shared" si="19"/>
        <v>0</v>
      </c>
      <c r="V163" s="277">
        <f t="shared" si="19"/>
        <v>0</v>
      </c>
      <c r="W163" s="277">
        <f t="shared" si="19"/>
        <v>0</v>
      </c>
      <c r="X163" s="277">
        <f t="shared" si="19"/>
        <v>0</v>
      </c>
      <c r="Y163" s="278">
        <f t="shared" si="19"/>
        <v>0</v>
      </c>
      <c r="Z163" s="278">
        <f t="shared" si="19"/>
        <v>0</v>
      </c>
      <c r="AA163" s="278">
        <f t="shared" si="19"/>
        <v>0</v>
      </c>
      <c r="AB163" s="278">
        <f t="shared" si="19"/>
        <v>0</v>
      </c>
      <c r="AC163" s="277">
        <f t="shared" si="19"/>
        <v>0</v>
      </c>
      <c r="AD163" s="277">
        <f t="shared" si="19"/>
        <v>0</v>
      </c>
      <c r="AE163" s="277">
        <f t="shared" si="19"/>
        <v>0</v>
      </c>
      <c r="AF163" s="277">
        <f t="shared" si="19"/>
        <v>0</v>
      </c>
      <c r="AG163" s="278">
        <f t="shared" si="19"/>
        <v>0</v>
      </c>
    </row>
    <row r="164" spans="1:33" s="134" customFormat="1" ht="12.75">
      <c r="A164" s="252" t="s">
        <v>87</v>
      </c>
      <c r="E164" s="248">
        <f t="shared" si="18"/>
        <v>46110.6</v>
      </c>
      <c r="F164" s="248">
        <v>60</v>
      </c>
      <c r="G164" s="277">
        <f t="shared" si="19"/>
        <v>7863.9</v>
      </c>
      <c r="H164" s="277">
        <f t="shared" si="19"/>
        <v>7863.9</v>
      </c>
      <c r="I164" s="278">
        <f t="shared" si="19"/>
        <v>15191.4</v>
      </c>
      <c r="J164" s="278">
        <f t="shared" si="19"/>
        <v>15191.4</v>
      </c>
      <c r="K164" s="278">
        <f t="shared" si="19"/>
        <v>0</v>
      </c>
      <c r="L164" s="278">
        <f t="shared" si="19"/>
        <v>0</v>
      </c>
      <c r="M164" s="277">
        <f t="shared" si="19"/>
        <v>0</v>
      </c>
      <c r="N164" s="277">
        <f t="shared" si="19"/>
        <v>0</v>
      </c>
      <c r="O164" s="277">
        <f t="shared" si="19"/>
        <v>0</v>
      </c>
      <c r="P164" s="277">
        <f t="shared" si="19"/>
        <v>0</v>
      </c>
      <c r="Q164" s="278">
        <f t="shared" si="19"/>
        <v>0</v>
      </c>
      <c r="R164" s="278">
        <f t="shared" si="19"/>
        <v>0</v>
      </c>
      <c r="S164" s="278">
        <f t="shared" si="19"/>
        <v>0</v>
      </c>
      <c r="T164" s="278">
        <f t="shared" si="19"/>
        <v>0</v>
      </c>
      <c r="U164" s="277">
        <f t="shared" si="19"/>
        <v>0</v>
      </c>
      <c r="V164" s="277">
        <f t="shared" si="19"/>
        <v>0</v>
      </c>
      <c r="W164" s="277">
        <f t="shared" si="19"/>
        <v>0</v>
      </c>
      <c r="X164" s="277">
        <f t="shared" si="19"/>
        <v>0</v>
      </c>
      <c r="Y164" s="278">
        <f t="shared" si="19"/>
        <v>0</v>
      </c>
      <c r="Z164" s="278">
        <f t="shared" si="19"/>
        <v>0</v>
      </c>
      <c r="AA164" s="278">
        <f t="shared" si="19"/>
        <v>0</v>
      </c>
      <c r="AB164" s="278">
        <f t="shared" si="19"/>
        <v>0</v>
      </c>
      <c r="AC164" s="277">
        <f t="shared" si="19"/>
        <v>0</v>
      </c>
      <c r="AD164" s="277">
        <f t="shared" si="19"/>
        <v>0</v>
      </c>
      <c r="AE164" s="277">
        <f t="shared" si="19"/>
        <v>0</v>
      </c>
      <c r="AF164" s="277">
        <f t="shared" si="19"/>
        <v>0</v>
      </c>
      <c r="AG164" s="278">
        <f t="shared" si="19"/>
        <v>0</v>
      </c>
    </row>
    <row r="165" spans="1:33" s="134" customFormat="1" ht="12.75">
      <c r="A165" s="252" t="s">
        <v>88</v>
      </c>
      <c r="E165" s="248">
        <f t="shared" si="18"/>
        <v>2119.8</v>
      </c>
      <c r="F165" s="248">
        <v>60</v>
      </c>
      <c r="G165" s="277">
        <f t="shared" si="19"/>
        <v>360</v>
      </c>
      <c r="H165" s="277">
        <f t="shared" si="19"/>
        <v>360</v>
      </c>
      <c r="I165" s="278">
        <f t="shared" si="19"/>
        <v>699.9</v>
      </c>
      <c r="J165" s="278">
        <f t="shared" si="19"/>
        <v>699.9</v>
      </c>
      <c r="K165" s="278">
        <f t="shared" si="19"/>
        <v>0</v>
      </c>
      <c r="L165" s="278">
        <f t="shared" si="19"/>
        <v>0</v>
      </c>
      <c r="M165" s="277">
        <f t="shared" si="19"/>
        <v>0</v>
      </c>
      <c r="N165" s="277">
        <f t="shared" si="19"/>
        <v>0</v>
      </c>
      <c r="O165" s="277">
        <f t="shared" si="19"/>
        <v>0</v>
      </c>
      <c r="P165" s="277">
        <f t="shared" si="19"/>
        <v>0</v>
      </c>
      <c r="Q165" s="278">
        <f t="shared" si="19"/>
        <v>0</v>
      </c>
      <c r="R165" s="278">
        <f t="shared" si="19"/>
        <v>0</v>
      </c>
      <c r="S165" s="278">
        <f t="shared" si="19"/>
        <v>0</v>
      </c>
      <c r="T165" s="278">
        <f t="shared" si="19"/>
        <v>0</v>
      </c>
      <c r="U165" s="277">
        <f t="shared" si="19"/>
        <v>0</v>
      </c>
      <c r="V165" s="277">
        <f t="shared" si="19"/>
        <v>0</v>
      </c>
      <c r="W165" s="277">
        <f t="shared" si="19"/>
        <v>0</v>
      </c>
      <c r="X165" s="277">
        <f t="shared" si="19"/>
        <v>0</v>
      </c>
      <c r="Y165" s="278">
        <f t="shared" si="19"/>
        <v>0</v>
      </c>
      <c r="Z165" s="278">
        <f t="shared" si="19"/>
        <v>0</v>
      </c>
      <c r="AA165" s="278">
        <f t="shared" si="19"/>
        <v>0</v>
      </c>
      <c r="AB165" s="278">
        <f t="shared" si="19"/>
        <v>0</v>
      </c>
      <c r="AC165" s="277">
        <f t="shared" si="19"/>
        <v>0</v>
      </c>
      <c r="AD165" s="277">
        <f t="shared" si="19"/>
        <v>0</v>
      </c>
      <c r="AE165" s="277">
        <f t="shared" si="19"/>
        <v>0</v>
      </c>
      <c r="AF165" s="277">
        <f t="shared" si="19"/>
        <v>0</v>
      </c>
      <c r="AG165" s="278">
        <f t="shared" si="19"/>
        <v>0</v>
      </c>
    </row>
    <row r="166" spans="1:33" s="134" customFormat="1" ht="12.75">
      <c r="A166" s="252" t="s">
        <v>83</v>
      </c>
      <c r="E166" s="248">
        <f t="shared" si="18"/>
        <v>15630.599999999999</v>
      </c>
      <c r="F166" s="248">
        <v>60</v>
      </c>
      <c r="G166" s="277">
        <f t="shared" si="19"/>
        <v>2733.8999999999996</v>
      </c>
      <c r="H166" s="277">
        <f t="shared" si="19"/>
        <v>2733.8999999999996</v>
      </c>
      <c r="I166" s="278">
        <f t="shared" si="19"/>
        <v>5081.4</v>
      </c>
      <c r="J166" s="278">
        <f t="shared" si="19"/>
        <v>5081.4</v>
      </c>
      <c r="K166" s="278">
        <f t="shared" si="19"/>
        <v>0</v>
      </c>
      <c r="L166" s="278">
        <f t="shared" si="19"/>
        <v>0</v>
      </c>
      <c r="M166" s="277">
        <f t="shared" si="19"/>
        <v>0</v>
      </c>
      <c r="N166" s="277">
        <f t="shared" si="19"/>
        <v>0</v>
      </c>
      <c r="O166" s="277">
        <f t="shared" si="19"/>
        <v>0</v>
      </c>
      <c r="P166" s="277">
        <f t="shared" si="19"/>
        <v>0</v>
      </c>
      <c r="Q166" s="278">
        <f t="shared" si="19"/>
        <v>0</v>
      </c>
      <c r="R166" s="278">
        <f t="shared" si="19"/>
        <v>0</v>
      </c>
      <c r="S166" s="278">
        <f t="shared" si="19"/>
        <v>0</v>
      </c>
      <c r="T166" s="278">
        <f t="shared" si="19"/>
        <v>0</v>
      </c>
      <c r="U166" s="277">
        <f t="shared" si="19"/>
        <v>0</v>
      </c>
      <c r="V166" s="277">
        <f t="shared" si="19"/>
        <v>0</v>
      </c>
      <c r="W166" s="277">
        <f t="shared" si="19"/>
        <v>0</v>
      </c>
      <c r="X166" s="277">
        <f t="shared" si="19"/>
        <v>0</v>
      </c>
      <c r="Y166" s="278">
        <f t="shared" si="19"/>
        <v>0</v>
      </c>
      <c r="Z166" s="278">
        <f t="shared" si="19"/>
        <v>0</v>
      </c>
      <c r="AA166" s="278">
        <f t="shared" si="19"/>
        <v>0</v>
      </c>
      <c r="AB166" s="278">
        <f t="shared" si="19"/>
        <v>0</v>
      </c>
      <c r="AC166" s="277">
        <f t="shared" si="19"/>
        <v>0</v>
      </c>
      <c r="AD166" s="277">
        <f t="shared" si="19"/>
        <v>0</v>
      </c>
      <c r="AE166" s="277">
        <f t="shared" si="19"/>
        <v>0</v>
      </c>
      <c r="AF166" s="277">
        <f t="shared" si="19"/>
        <v>0</v>
      </c>
      <c r="AG166" s="278">
        <f t="shared" si="19"/>
        <v>0</v>
      </c>
    </row>
    <row r="167" spans="1:33" s="134" customFormat="1" ht="12.75">
      <c r="A167" s="252" t="s">
        <v>85</v>
      </c>
      <c r="E167" s="248">
        <f t="shared" si="18"/>
        <v>66190.8</v>
      </c>
      <c r="F167" s="248">
        <v>60</v>
      </c>
      <c r="G167" s="277">
        <f t="shared" si="19"/>
        <v>5613.9</v>
      </c>
      <c r="H167" s="277">
        <f t="shared" si="19"/>
        <v>5613.9</v>
      </c>
      <c r="I167" s="278">
        <f t="shared" si="19"/>
        <v>27481.5</v>
      </c>
      <c r="J167" s="278">
        <f t="shared" si="19"/>
        <v>27481.5</v>
      </c>
      <c r="K167" s="278">
        <f t="shared" si="19"/>
        <v>0</v>
      </c>
      <c r="L167" s="278">
        <f t="shared" si="19"/>
        <v>0</v>
      </c>
      <c r="M167" s="277">
        <f t="shared" si="19"/>
        <v>0</v>
      </c>
      <c r="N167" s="277">
        <f t="shared" si="19"/>
        <v>0</v>
      </c>
      <c r="O167" s="277">
        <f t="shared" si="19"/>
        <v>0</v>
      </c>
      <c r="P167" s="277">
        <f t="shared" si="19"/>
        <v>0</v>
      </c>
      <c r="Q167" s="278">
        <f t="shared" si="19"/>
        <v>0</v>
      </c>
      <c r="R167" s="278">
        <f t="shared" si="19"/>
        <v>0</v>
      </c>
      <c r="S167" s="278">
        <f t="shared" si="19"/>
        <v>0</v>
      </c>
      <c r="T167" s="278">
        <f t="shared" si="19"/>
        <v>0</v>
      </c>
      <c r="U167" s="277">
        <f t="shared" si="19"/>
        <v>0</v>
      </c>
      <c r="V167" s="277">
        <f t="shared" si="19"/>
        <v>0</v>
      </c>
      <c r="W167" s="277">
        <f t="shared" si="19"/>
        <v>0</v>
      </c>
      <c r="X167" s="277">
        <f t="shared" si="19"/>
        <v>0</v>
      </c>
      <c r="Y167" s="278">
        <f t="shared" si="19"/>
        <v>0</v>
      </c>
      <c r="Z167" s="278">
        <f t="shared" si="19"/>
        <v>0</v>
      </c>
      <c r="AA167" s="278">
        <f t="shared" si="19"/>
        <v>0</v>
      </c>
      <c r="AB167" s="278">
        <f t="shared" si="19"/>
        <v>0</v>
      </c>
      <c r="AC167" s="277">
        <f t="shared" si="19"/>
        <v>0</v>
      </c>
      <c r="AD167" s="277">
        <f t="shared" si="19"/>
        <v>0</v>
      </c>
      <c r="AE167" s="277">
        <f t="shared" si="19"/>
        <v>0</v>
      </c>
      <c r="AF167" s="277">
        <f t="shared" si="19"/>
        <v>0</v>
      </c>
      <c r="AG167" s="278">
        <f t="shared" si="19"/>
        <v>0</v>
      </c>
    </row>
    <row r="168" spans="1:33" s="134" customFormat="1" ht="12.75">
      <c r="A168" s="252" t="s">
        <v>89</v>
      </c>
      <c r="E168" s="248">
        <f t="shared" si="18"/>
        <v>1400</v>
      </c>
      <c r="F168" s="248">
        <v>35</v>
      </c>
      <c r="G168" s="277">
        <f t="shared" si="19"/>
        <v>350</v>
      </c>
      <c r="H168" s="277">
        <f t="shared" si="19"/>
        <v>350</v>
      </c>
      <c r="I168" s="278">
        <f t="shared" si="19"/>
        <v>350</v>
      </c>
      <c r="J168" s="278">
        <f t="shared" si="19"/>
        <v>350</v>
      </c>
      <c r="K168" s="278">
        <f t="shared" si="19"/>
        <v>0</v>
      </c>
      <c r="L168" s="278">
        <f t="shared" si="19"/>
        <v>0</v>
      </c>
      <c r="M168" s="277">
        <f t="shared" si="19"/>
        <v>0</v>
      </c>
      <c r="N168" s="277">
        <f t="shared" si="19"/>
        <v>0</v>
      </c>
      <c r="O168" s="277">
        <f t="shared" si="19"/>
        <v>0</v>
      </c>
      <c r="P168" s="277">
        <f t="shared" si="19"/>
        <v>0</v>
      </c>
      <c r="Q168" s="278">
        <f t="shared" si="19"/>
        <v>0</v>
      </c>
      <c r="R168" s="278">
        <f t="shared" si="19"/>
        <v>0</v>
      </c>
      <c r="S168" s="278">
        <f aca="true" t="shared" si="20" ref="H168:AG172">$F168*S97</f>
        <v>0</v>
      </c>
      <c r="T168" s="278">
        <f t="shared" si="20"/>
        <v>0</v>
      </c>
      <c r="U168" s="277">
        <f t="shared" si="20"/>
        <v>0</v>
      </c>
      <c r="V168" s="277">
        <f t="shared" si="20"/>
        <v>0</v>
      </c>
      <c r="W168" s="277">
        <f t="shared" si="20"/>
        <v>0</v>
      </c>
      <c r="X168" s="277">
        <f t="shared" si="20"/>
        <v>0</v>
      </c>
      <c r="Y168" s="278">
        <f t="shared" si="20"/>
        <v>0</v>
      </c>
      <c r="Z168" s="278">
        <f t="shared" si="20"/>
        <v>0</v>
      </c>
      <c r="AA168" s="278">
        <f t="shared" si="20"/>
        <v>0</v>
      </c>
      <c r="AB168" s="278">
        <f t="shared" si="20"/>
        <v>0</v>
      </c>
      <c r="AC168" s="277">
        <f t="shared" si="20"/>
        <v>0</v>
      </c>
      <c r="AD168" s="277">
        <f t="shared" si="20"/>
        <v>0</v>
      </c>
      <c r="AE168" s="277">
        <f t="shared" si="20"/>
        <v>0</v>
      </c>
      <c r="AF168" s="277">
        <f t="shared" si="20"/>
        <v>0</v>
      </c>
      <c r="AG168" s="278">
        <f t="shared" si="20"/>
        <v>0</v>
      </c>
    </row>
    <row r="169" spans="1:33" s="134" customFormat="1" ht="12.75">
      <c r="A169" s="252" t="s">
        <v>90</v>
      </c>
      <c r="E169" s="248">
        <f t="shared" si="18"/>
        <v>3791.0700000000006</v>
      </c>
      <c r="F169" s="248">
        <v>57</v>
      </c>
      <c r="G169" s="277">
        <f>$F169*G98</f>
        <v>459.705</v>
      </c>
      <c r="H169" s="277">
        <f t="shared" si="20"/>
        <v>459.705</v>
      </c>
      <c r="I169" s="278">
        <f t="shared" si="20"/>
        <v>1435.8300000000002</v>
      </c>
      <c r="J169" s="278">
        <f t="shared" si="20"/>
        <v>1435.8300000000002</v>
      </c>
      <c r="K169" s="278">
        <f t="shared" si="20"/>
        <v>0</v>
      </c>
      <c r="L169" s="278">
        <f t="shared" si="20"/>
        <v>0</v>
      </c>
      <c r="M169" s="277">
        <f t="shared" si="20"/>
        <v>0</v>
      </c>
      <c r="N169" s="277">
        <f t="shared" si="20"/>
        <v>0</v>
      </c>
      <c r="O169" s="277">
        <f t="shared" si="20"/>
        <v>0</v>
      </c>
      <c r="P169" s="277">
        <f t="shared" si="20"/>
        <v>0</v>
      </c>
      <c r="Q169" s="278">
        <f t="shared" si="20"/>
        <v>0</v>
      </c>
      <c r="R169" s="278">
        <f t="shared" si="20"/>
        <v>0</v>
      </c>
      <c r="S169" s="278">
        <f t="shared" si="20"/>
        <v>0</v>
      </c>
      <c r="T169" s="278">
        <f t="shared" si="20"/>
        <v>0</v>
      </c>
      <c r="U169" s="277">
        <f t="shared" si="20"/>
        <v>0</v>
      </c>
      <c r="V169" s="277">
        <f t="shared" si="20"/>
        <v>0</v>
      </c>
      <c r="W169" s="277">
        <f t="shared" si="20"/>
        <v>0</v>
      </c>
      <c r="X169" s="277">
        <f t="shared" si="20"/>
        <v>0</v>
      </c>
      <c r="Y169" s="278">
        <f t="shared" si="20"/>
        <v>0</v>
      </c>
      <c r="Z169" s="278">
        <f t="shared" si="20"/>
        <v>0</v>
      </c>
      <c r="AA169" s="278">
        <f t="shared" si="20"/>
        <v>0</v>
      </c>
      <c r="AB169" s="278">
        <f t="shared" si="20"/>
        <v>0</v>
      </c>
      <c r="AC169" s="277">
        <f t="shared" si="20"/>
        <v>0</v>
      </c>
      <c r="AD169" s="277">
        <f t="shared" si="20"/>
        <v>0</v>
      </c>
      <c r="AE169" s="277">
        <f t="shared" si="20"/>
        <v>0</v>
      </c>
      <c r="AF169" s="277">
        <f t="shared" si="20"/>
        <v>0</v>
      </c>
      <c r="AG169" s="278">
        <f t="shared" si="20"/>
        <v>0</v>
      </c>
    </row>
    <row r="170" spans="1:33" s="134" customFormat="1" ht="12.75">
      <c r="A170" s="252" t="s">
        <v>91</v>
      </c>
      <c r="E170" s="248">
        <f t="shared" si="18"/>
        <v>3791.0700000000006</v>
      </c>
      <c r="F170" s="248">
        <v>57</v>
      </c>
      <c r="G170" s="277">
        <f>$F170*G99</f>
        <v>459.705</v>
      </c>
      <c r="H170" s="277">
        <f t="shared" si="20"/>
        <v>459.705</v>
      </c>
      <c r="I170" s="278">
        <f t="shared" si="20"/>
        <v>1435.8300000000002</v>
      </c>
      <c r="J170" s="278">
        <f t="shared" si="20"/>
        <v>1435.8300000000002</v>
      </c>
      <c r="K170" s="278">
        <f t="shared" si="20"/>
        <v>0</v>
      </c>
      <c r="L170" s="278">
        <f t="shared" si="20"/>
        <v>0</v>
      </c>
      <c r="M170" s="277">
        <f t="shared" si="20"/>
        <v>0</v>
      </c>
      <c r="N170" s="277">
        <f t="shared" si="20"/>
        <v>0</v>
      </c>
      <c r="O170" s="277">
        <f t="shared" si="20"/>
        <v>0</v>
      </c>
      <c r="P170" s="277">
        <f t="shared" si="20"/>
        <v>0</v>
      </c>
      <c r="Q170" s="278">
        <f t="shared" si="20"/>
        <v>0</v>
      </c>
      <c r="R170" s="278">
        <f t="shared" si="20"/>
        <v>0</v>
      </c>
      <c r="S170" s="278">
        <f t="shared" si="20"/>
        <v>0</v>
      </c>
      <c r="T170" s="278">
        <f t="shared" si="20"/>
        <v>0</v>
      </c>
      <c r="U170" s="277">
        <f t="shared" si="20"/>
        <v>0</v>
      </c>
      <c r="V170" s="277">
        <f t="shared" si="20"/>
        <v>0</v>
      </c>
      <c r="W170" s="277">
        <f t="shared" si="20"/>
        <v>0</v>
      </c>
      <c r="X170" s="277">
        <f t="shared" si="20"/>
        <v>0</v>
      </c>
      <c r="Y170" s="278">
        <f t="shared" si="20"/>
        <v>0</v>
      </c>
      <c r="Z170" s="278">
        <f t="shared" si="20"/>
        <v>0</v>
      </c>
      <c r="AA170" s="278">
        <f t="shared" si="20"/>
        <v>0</v>
      </c>
      <c r="AB170" s="278">
        <f t="shared" si="20"/>
        <v>0</v>
      </c>
      <c r="AC170" s="277">
        <f t="shared" si="20"/>
        <v>0</v>
      </c>
      <c r="AD170" s="277">
        <f t="shared" si="20"/>
        <v>0</v>
      </c>
      <c r="AE170" s="277">
        <f t="shared" si="20"/>
        <v>0</v>
      </c>
      <c r="AF170" s="277">
        <f t="shared" si="20"/>
        <v>0</v>
      </c>
      <c r="AG170" s="278">
        <f t="shared" si="20"/>
        <v>0</v>
      </c>
    </row>
    <row r="171" spans="1:33" s="134" customFormat="1" ht="12.75">
      <c r="A171" s="252" t="s">
        <v>92</v>
      </c>
      <c r="E171" s="248">
        <f t="shared" si="18"/>
        <v>3791.0700000000006</v>
      </c>
      <c r="F171" s="248">
        <v>57</v>
      </c>
      <c r="G171" s="277">
        <f>$F171*G100</f>
        <v>459.705</v>
      </c>
      <c r="H171" s="277">
        <f t="shared" si="20"/>
        <v>459.705</v>
      </c>
      <c r="I171" s="278">
        <f t="shared" si="20"/>
        <v>1435.8300000000002</v>
      </c>
      <c r="J171" s="278">
        <f t="shared" si="20"/>
        <v>1435.8300000000002</v>
      </c>
      <c r="K171" s="278">
        <f t="shared" si="20"/>
        <v>0</v>
      </c>
      <c r="L171" s="278">
        <f t="shared" si="20"/>
        <v>0</v>
      </c>
      <c r="M171" s="277">
        <f t="shared" si="20"/>
        <v>0</v>
      </c>
      <c r="N171" s="277">
        <f t="shared" si="20"/>
        <v>0</v>
      </c>
      <c r="O171" s="277">
        <f t="shared" si="20"/>
        <v>0</v>
      </c>
      <c r="P171" s="277">
        <f t="shared" si="20"/>
        <v>0</v>
      </c>
      <c r="Q171" s="278">
        <f t="shared" si="20"/>
        <v>0</v>
      </c>
      <c r="R171" s="278">
        <f t="shared" si="20"/>
        <v>0</v>
      </c>
      <c r="S171" s="278">
        <f t="shared" si="20"/>
        <v>0</v>
      </c>
      <c r="T171" s="278">
        <f t="shared" si="20"/>
        <v>0</v>
      </c>
      <c r="U171" s="277">
        <f t="shared" si="20"/>
        <v>0</v>
      </c>
      <c r="V171" s="277">
        <f t="shared" si="20"/>
        <v>0</v>
      </c>
      <c r="W171" s="277">
        <f t="shared" si="20"/>
        <v>0</v>
      </c>
      <c r="X171" s="277">
        <f t="shared" si="20"/>
        <v>0</v>
      </c>
      <c r="Y171" s="278">
        <f t="shared" si="20"/>
        <v>0</v>
      </c>
      <c r="Z171" s="278">
        <f t="shared" si="20"/>
        <v>0</v>
      </c>
      <c r="AA171" s="278">
        <f t="shared" si="20"/>
        <v>0</v>
      </c>
      <c r="AB171" s="278">
        <f t="shared" si="20"/>
        <v>0</v>
      </c>
      <c r="AC171" s="277">
        <f t="shared" si="20"/>
        <v>0</v>
      </c>
      <c r="AD171" s="277">
        <f t="shared" si="20"/>
        <v>0</v>
      </c>
      <c r="AE171" s="277">
        <f t="shared" si="20"/>
        <v>0</v>
      </c>
      <c r="AF171" s="277">
        <f t="shared" si="20"/>
        <v>0</v>
      </c>
      <c r="AG171" s="278">
        <f t="shared" si="20"/>
        <v>0</v>
      </c>
    </row>
    <row r="172" spans="1:33" s="134" customFormat="1" ht="12.75">
      <c r="A172" s="252" t="s">
        <v>93</v>
      </c>
      <c r="E172" s="248">
        <f t="shared" si="18"/>
        <v>3791.0700000000006</v>
      </c>
      <c r="F172" s="248">
        <v>57</v>
      </c>
      <c r="G172" s="277">
        <f>$F172*G101</f>
        <v>459.705</v>
      </c>
      <c r="H172" s="277">
        <f t="shared" si="20"/>
        <v>459.705</v>
      </c>
      <c r="I172" s="278">
        <f t="shared" si="20"/>
        <v>1435.8300000000002</v>
      </c>
      <c r="J172" s="278">
        <f t="shared" si="20"/>
        <v>1435.8300000000002</v>
      </c>
      <c r="K172" s="278">
        <f t="shared" si="20"/>
        <v>0</v>
      </c>
      <c r="L172" s="278">
        <f t="shared" si="20"/>
        <v>0</v>
      </c>
      <c r="M172" s="277">
        <f t="shared" si="20"/>
        <v>0</v>
      </c>
      <c r="N172" s="277">
        <f t="shared" si="20"/>
        <v>0</v>
      </c>
      <c r="O172" s="277">
        <f t="shared" si="20"/>
        <v>0</v>
      </c>
      <c r="P172" s="277">
        <f t="shared" si="20"/>
        <v>0</v>
      </c>
      <c r="Q172" s="278">
        <f t="shared" si="20"/>
        <v>0</v>
      </c>
      <c r="R172" s="278">
        <f t="shared" si="20"/>
        <v>0</v>
      </c>
      <c r="S172" s="278">
        <f t="shared" si="20"/>
        <v>0</v>
      </c>
      <c r="T172" s="278">
        <f t="shared" si="20"/>
        <v>0</v>
      </c>
      <c r="U172" s="277">
        <f t="shared" si="20"/>
        <v>0</v>
      </c>
      <c r="V172" s="277">
        <f t="shared" si="20"/>
        <v>0</v>
      </c>
      <c r="W172" s="277">
        <f t="shared" si="20"/>
        <v>0</v>
      </c>
      <c r="X172" s="277">
        <f t="shared" si="20"/>
        <v>0</v>
      </c>
      <c r="Y172" s="278">
        <f t="shared" si="20"/>
        <v>0</v>
      </c>
      <c r="Z172" s="278">
        <f t="shared" si="20"/>
        <v>0</v>
      </c>
      <c r="AA172" s="278">
        <f t="shared" si="20"/>
        <v>0</v>
      </c>
      <c r="AB172" s="278">
        <f t="shared" si="20"/>
        <v>0</v>
      </c>
      <c r="AC172" s="277">
        <f t="shared" si="20"/>
        <v>0</v>
      </c>
      <c r="AD172" s="277">
        <f t="shared" si="20"/>
        <v>0</v>
      </c>
      <c r="AE172" s="277">
        <f t="shared" si="20"/>
        <v>0</v>
      </c>
      <c r="AF172" s="277">
        <f t="shared" si="20"/>
        <v>0</v>
      </c>
      <c r="AG172" s="278">
        <f t="shared" si="20"/>
        <v>0</v>
      </c>
    </row>
    <row r="173" spans="1:33" s="134" customFormat="1" ht="12.75">
      <c r="A173" s="247" t="s">
        <v>698</v>
      </c>
      <c r="E173" s="248"/>
      <c r="F173" s="248"/>
      <c r="G173" s="277"/>
      <c r="H173" s="277"/>
      <c r="I173" s="278"/>
      <c r="J173" s="278"/>
      <c r="K173" s="278"/>
      <c r="L173" s="278"/>
      <c r="M173" s="277"/>
      <c r="N173" s="277"/>
      <c r="O173" s="277"/>
      <c r="P173" s="277"/>
      <c r="Q173" s="278"/>
      <c r="R173" s="278"/>
      <c r="S173" s="278"/>
      <c r="T173" s="278"/>
      <c r="U173" s="277"/>
      <c r="V173" s="277"/>
      <c r="W173" s="277"/>
      <c r="X173" s="277"/>
      <c r="Y173" s="278"/>
      <c r="Z173" s="278"/>
      <c r="AA173" s="278"/>
      <c r="AB173" s="278"/>
      <c r="AC173" s="277"/>
      <c r="AD173" s="277"/>
      <c r="AE173" s="277"/>
      <c r="AF173" s="277"/>
      <c r="AG173" s="278"/>
    </row>
    <row r="174" spans="1:33" s="134" customFormat="1" ht="12.75">
      <c r="A174" s="252" t="s">
        <v>78</v>
      </c>
      <c r="E174" s="248">
        <f aca="true" t="shared" si="21" ref="E174:E187">SUM(G174:AG174)</f>
        <v>51576.21</v>
      </c>
      <c r="F174" s="248">
        <v>87</v>
      </c>
      <c r="G174" s="277">
        <f aca="true" t="shared" si="22" ref="G174:AG183">$F174*G103</f>
        <v>0</v>
      </c>
      <c r="H174" s="277">
        <f t="shared" si="22"/>
        <v>0</v>
      </c>
      <c r="I174" s="278">
        <f t="shared" si="22"/>
        <v>0</v>
      </c>
      <c r="J174" s="278">
        <f t="shared" si="22"/>
        <v>0</v>
      </c>
      <c r="K174" s="278">
        <f t="shared" si="22"/>
        <v>9606.975</v>
      </c>
      <c r="L174" s="278">
        <f t="shared" si="22"/>
        <v>9606.975</v>
      </c>
      <c r="M174" s="277">
        <f t="shared" si="22"/>
        <v>6179.175</v>
      </c>
      <c r="N174" s="277">
        <f t="shared" si="22"/>
        <v>6179.175</v>
      </c>
      <c r="O174" s="277">
        <f t="shared" si="22"/>
        <v>20003.91</v>
      </c>
      <c r="P174" s="277">
        <f t="shared" si="22"/>
        <v>0</v>
      </c>
      <c r="Q174" s="278">
        <f t="shared" si="22"/>
        <v>0</v>
      </c>
      <c r="R174" s="278">
        <f t="shared" si="22"/>
        <v>0</v>
      </c>
      <c r="S174" s="278">
        <f t="shared" si="22"/>
        <v>0</v>
      </c>
      <c r="T174" s="278">
        <f t="shared" si="22"/>
        <v>0</v>
      </c>
      <c r="U174" s="277">
        <f t="shared" si="22"/>
        <v>0</v>
      </c>
      <c r="V174" s="277">
        <f t="shared" si="22"/>
        <v>0</v>
      </c>
      <c r="W174" s="277">
        <f t="shared" si="22"/>
        <v>0</v>
      </c>
      <c r="X174" s="277">
        <f t="shared" si="22"/>
        <v>0</v>
      </c>
      <c r="Y174" s="278">
        <f t="shared" si="22"/>
        <v>0</v>
      </c>
      <c r="Z174" s="278">
        <f t="shared" si="22"/>
        <v>0</v>
      </c>
      <c r="AA174" s="278">
        <f t="shared" si="22"/>
        <v>0</v>
      </c>
      <c r="AB174" s="278">
        <f t="shared" si="22"/>
        <v>0</v>
      </c>
      <c r="AC174" s="277">
        <f t="shared" si="22"/>
        <v>0</v>
      </c>
      <c r="AD174" s="277">
        <f t="shared" si="22"/>
        <v>0</v>
      </c>
      <c r="AE174" s="277">
        <f t="shared" si="22"/>
        <v>0</v>
      </c>
      <c r="AF174" s="277">
        <f t="shared" si="22"/>
        <v>0</v>
      </c>
      <c r="AG174" s="278">
        <f t="shared" si="22"/>
        <v>0</v>
      </c>
    </row>
    <row r="175" spans="1:33" s="134" customFormat="1" ht="12.75">
      <c r="A175" s="252" t="s">
        <v>79</v>
      </c>
      <c r="E175" s="248">
        <f t="shared" si="21"/>
        <v>0</v>
      </c>
      <c r="F175" s="248">
        <v>0</v>
      </c>
      <c r="G175" s="277">
        <f t="shared" si="22"/>
        <v>0</v>
      </c>
      <c r="H175" s="277">
        <f t="shared" si="22"/>
        <v>0</v>
      </c>
      <c r="I175" s="278">
        <f t="shared" si="22"/>
        <v>0</v>
      </c>
      <c r="J175" s="278">
        <f t="shared" si="22"/>
        <v>0</v>
      </c>
      <c r="K175" s="278">
        <f t="shared" si="22"/>
        <v>0</v>
      </c>
      <c r="L175" s="278">
        <f t="shared" si="22"/>
        <v>0</v>
      </c>
      <c r="M175" s="277">
        <f t="shared" si="22"/>
        <v>0</v>
      </c>
      <c r="N175" s="277">
        <f t="shared" si="22"/>
        <v>0</v>
      </c>
      <c r="O175" s="277">
        <f t="shared" si="22"/>
        <v>0</v>
      </c>
      <c r="P175" s="277">
        <f t="shared" si="22"/>
        <v>0</v>
      </c>
      <c r="Q175" s="278">
        <f t="shared" si="22"/>
        <v>0</v>
      </c>
      <c r="R175" s="278">
        <f t="shared" si="22"/>
        <v>0</v>
      </c>
      <c r="S175" s="278">
        <f t="shared" si="22"/>
        <v>0</v>
      </c>
      <c r="T175" s="278">
        <f t="shared" si="22"/>
        <v>0</v>
      </c>
      <c r="U175" s="277">
        <f t="shared" si="22"/>
        <v>0</v>
      </c>
      <c r="V175" s="277">
        <f t="shared" si="22"/>
        <v>0</v>
      </c>
      <c r="W175" s="277">
        <f t="shared" si="22"/>
        <v>0</v>
      </c>
      <c r="X175" s="277">
        <f t="shared" si="22"/>
        <v>0</v>
      </c>
      <c r="Y175" s="278">
        <f t="shared" si="22"/>
        <v>0</v>
      </c>
      <c r="Z175" s="278">
        <f t="shared" si="22"/>
        <v>0</v>
      </c>
      <c r="AA175" s="278">
        <f t="shared" si="22"/>
        <v>0</v>
      </c>
      <c r="AB175" s="278">
        <f t="shared" si="22"/>
        <v>0</v>
      </c>
      <c r="AC175" s="277">
        <f t="shared" si="22"/>
        <v>0</v>
      </c>
      <c r="AD175" s="277">
        <f t="shared" si="22"/>
        <v>0</v>
      </c>
      <c r="AE175" s="277">
        <f t="shared" si="22"/>
        <v>0</v>
      </c>
      <c r="AF175" s="277">
        <f t="shared" si="22"/>
        <v>0</v>
      </c>
      <c r="AG175" s="278">
        <f t="shared" si="22"/>
        <v>0</v>
      </c>
    </row>
    <row r="176" spans="1:33" s="134" customFormat="1" ht="12.75">
      <c r="A176" s="252" t="s">
        <v>81</v>
      </c>
      <c r="E176" s="248">
        <f t="shared" si="21"/>
        <v>0</v>
      </c>
      <c r="F176" s="248">
        <v>0</v>
      </c>
      <c r="G176" s="277">
        <f t="shared" si="22"/>
        <v>0</v>
      </c>
      <c r="H176" s="277">
        <f t="shared" si="22"/>
        <v>0</v>
      </c>
      <c r="I176" s="278">
        <f t="shared" si="22"/>
        <v>0</v>
      </c>
      <c r="J176" s="278">
        <f t="shared" si="22"/>
        <v>0</v>
      </c>
      <c r="K176" s="278">
        <f t="shared" si="22"/>
        <v>0</v>
      </c>
      <c r="L176" s="278">
        <f t="shared" si="22"/>
        <v>0</v>
      </c>
      <c r="M176" s="277">
        <f t="shared" si="22"/>
        <v>0</v>
      </c>
      <c r="N176" s="277">
        <f t="shared" si="22"/>
        <v>0</v>
      </c>
      <c r="O176" s="277">
        <f t="shared" si="22"/>
        <v>0</v>
      </c>
      <c r="P176" s="277">
        <f t="shared" si="22"/>
        <v>0</v>
      </c>
      <c r="Q176" s="278">
        <f t="shared" si="22"/>
        <v>0</v>
      </c>
      <c r="R176" s="278">
        <f t="shared" si="22"/>
        <v>0</v>
      </c>
      <c r="S176" s="278">
        <f t="shared" si="22"/>
        <v>0</v>
      </c>
      <c r="T176" s="278">
        <f t="shared" si="22"/>
        <v>0</v>
      </c>
      <c r="U176" s="277">
        <f t="shared" si="22"/>
        <v>0</v>
      </c>
      <c r="V176" s="277">
        <f t="shared" si="22"/>
        <v>0</v>
      </c>
      <c r="W176" s="277">
        <f t="shared" si="22"/>
        <v>0</v>
      </c>
      <c r="X176" s="277">
        <f t="shared" si="22"/>
        <v>0</v>
      </c>
      <c r="Y176" s="278">
        <f t="shared" si="22"/>
        <v>0</v>
      </c>
      <c r="Z176" s="278">
        <f t="shared" si="22"/>
        <v>0</v>
      </c>
      <c r="AA176" s="278">
        <f t="shared" si="22"/>
        <v>0</v>
      </c>
      <c r="AB176" s="278">
        <f t="shared" si="22"/>
        <v>0</v>
      </c>
      <c r="AC176" s="277">
        <f t="shared" si="22"/>
        <v>0</v>
      </c>
      <c r="AD176" s="277">
        <f t="shared" si="22"/>
        <v>0</v>
      </c>
      <c r="AE176" s="277">
        <f t="shared" si="22"/>
        <v>0</v>
      </c>
      <c r="AF176" s="277">
        <f t="shared" si="22"/>
        <v>0</v>
      </c>
      <c r="AG176" s="278">
        <f t="shared" si="22"/>
        <v>0</v>
      </c>
    </row>
    <row r="177" spans="1:33" s="134" customFormat="1" ht="12.75">
      <c r="A177" s="252" t="s">
        <v>84</v>
      </c>
      <c r="E177" s="248">
        <f t="shared" si="21"/>
        <v>142300.9</v>
      </c>
      <c r="F177" s="248">
        <v>70</v>
      </c>
      <c r="G177" s="277">
        <f t="shared" si="22"/>
        <v>0</v>
      </c>
      <c r="H177" s="277">
        <f t="shared" si="22"/>
        <v>0</v>
      </c>
      <c r="I177" s="278">
        <f t="shared" si="22"/>
        <v>0</v>
      </c>
      <c r="J177" s="278">
        <f t="shared" si="22"/>
        <v>0</v>
      </c>
      <c r="K177" s="278">
        <f t="shared" si="22"/>
        <v>35000</v>
      </c>
      <c r="L177" s="278">
        <f t="shared" si="22"/>
        <v>35000</v>
      </c>
      <c r="M177" s="277">
        <f t="shared" si="22"/>
        <v>23403.449999999997</v>
      </c>
      <c r="N177" s="277">
        <f t="shared" si="22"/>
        <v>23403.449999999997</v>
      </c>
      <c r="O177" s="277">
        <f t="shared" si="22"/>
        <v>25494</v>
      </c>
      <c r="P177" s="277">
        <f t="shared" si="22"/>
        <v>0</v>
      </c>
      <c r="Q177" s="278">
        <f t="shared" si="22"/>
        <v>0</v>
      </c>
      <c r="R177" s="278">
        <f t="shared" si="22"/>
        <v>0</v>
      </c>
      <c r="S177" s="278">
        <f t="shared" si="22"/>
        <v>0</v>
      </c>
      <c r="T177" s="278">
        <f t="shared" si="22"/>
        <v>0</v>
      </c>
      <c r="U177" s="277">
        <f t="shared" si="22"/>
        <v>0</v>
      </c>
      <c r="V177" s="277">
        <f t="shared" si="22"/>
        <v>0</v>
      </c>
      <c r="W177" s="277">
        <f t="shared" si="22"/>
        <v>0</v>
      </c>
      <c r="X177" s="277">
        <f t="shared" si="22"/>
        <v>0</v>
      </c>
      <c r="Y177" s="278">
        <f t="shared" si="22"/>
        <v>0</v>
      </c>
      <c r="Z177" s="278">
        <f t="shared" si="22"/>
        <v>0</v>
      </c>
      <c r="AA177" s="278">
        <f t="shared" si="22"/>
        <v>0</v>
      </c>
      <c r="AB177" s="278">
        <f t="shared" si="22"/>
        <v>0</v>
      </c>
      <c r="AC177" s="277">
        <f t="shared" si="22"/>
        <v>0</v>
      </c>
      <c r="AD177" s="277">
        <f t="shared" si="22"/>
        <v>0</v>
      </c>
      <c r="AE177" s="277">
        <f t="shared" si="22"/>
        <v>0</v>
      </c>
      <c r="AF177" s="277">
        <f t="shared" si="22"/>
        <v>0</v>
      </c>
      <c r="AG177" s="278">
        <f t="shared" si="22"/>
        <v>0</v>
      </c>
    </row>
    <row r="178" spans="1:33" s="134" customFormat="1" ht="12.75">
      <c r="A178" s="252" t="s">
        <v>86</v>
      </c>
      <c r="E178" s="248">
        <f t="shared" si="21"/>
        <v>103324.9</v>
      </c>
      <c r="F178" s="248">
        <v>70</v>
      </c>
      <c r="G178" s="277">
        <f t="shared" si="22"/>
        <v>0</v>
      </c>
      <c r="H178" s="277">
        <f t="shared" si="22"/>
        <v>0</v>
      </c>
      <c r="I178" s="278">
        <f t="shared" si="22"/>
        <v>0</v>
      </c>
      <c r="J178" s="278">
        <f t="shared" si="22"/>
        <v>0</v>
      </c>
      <c r="K178" s="278">
        <f t="shared" si="22"/>
        <v>2870.7</v>
      </c>
      <c r="L178" s="278">
        <f t="shared" si="22"/>
        <v>2870.7</v>
      </c>
      <c r="M178" s="277">
        <f t="shared" si="22"/>
        <v>42848.75</v>
      </c>
      <c r="N178" s="277">
        <f t="shared" si="22"/>
        <v>42848.75</v>
      </c>
      <c r="O178" s="277">
        <f t="shared" si="22"/>
        <v>11886</v>
      </c>
      <c r="P178" s="277">
        <f t="shared" si="22"/>
        <v>0</v>
      </c>
      <c r="Q178" s="278">
        <f t="shared" si="22"/>
        <v>0</v>
      </c>
      <c r="R178" s="278">
        <f t="shared" si="22"/>
        <v>0</v>
      </c>
      <c r="S178" s="278">
        <f t="shared" si="22"/>
        <v>0</v>
      </c>
      <c r="T178" s="278">
        <f t="shared" si="22"/>
        <v>0</v>
      </c>
      <c r="U178" s="277">
        <f t="shared" si="22"/>
        <v>0</v>
      </c>
      <c r="V178" s="277">
        <f t="shared" si="22"/>
        <v>0</v>
      </c>
      <c r="W178" s="277">
        <f t="shared" si="22"/>
        <v>0</v>
      </c>
      <c r="X178" s="277">
        <f t="shared" si="22"/>
        <v>0</v>
      </c>
      <c r="Y178" s="278">
        <f t="shared" si="22"/>
        <v>0</v>
      </c>
      <c r="Z178" s="278">
        <f t="shared" si="22"/>
        <v>0</v>
      </c>
      <c r="AA178" s="278">
        <f t="shared" si="22"/>
        <v>0</v>
      </c>
      <c r="AB178" s="278">
        <f t="shared" si="22"/>
        <v>0</v>
      </c>
      <c r="AC178" s="277">
        <f t="shared" si="22"/>
        <v>0</v>
      </c>
      <c r="AD178" s="277">
        <f t="shared" si="22"/>
        <v>0</v>
      </c>
      <c r="AE178" s="277">
        <f t="shared" si="22"/>
        <v>0</v>
      </c>
      <c r="AF178" s="277">
        <f t="shared" si="22"/>
        <v>0</v>
      </c>
      <c r="AG178" s="278">
        <f t="shared" si="22"/>
        <v>0</v>
      </c>
    </row>
    <row r="179" spans="1:33" s="134" customFormat="1" ht="12.75">
      <c r="A179" s="252" t="s">
        <v>87</v>
      </c>
      <c r="E179" s="248">
        <f t="shared" si="21"/>
        <v>115308</v>
      </c>
      <c r="F179" s="248">
        <v>60</v>
      </c>
      <c r="G179" s="277">
        <f t="shared" si="22"/>
        <v>0</v>
      </c>
      <c r="H179" s="277">
        <f t="shared" si="22"/>
        <v>0</v>
      </c>
      <c r="I179" s="278">
        <f t="shared" si="22"/>
        <v>0</v>
      </c>
      <c r="J179" s="278">
        <f t="shared" si="22"/>
        <v>0</v>
      </c>
      <c r="K179" s="278">
        <f t="shared" si="22"/>
        <v>13736.4</v>
      </c>
      <c r="L179" s="278">
        <f t="shared" si="22"/>
        <v>13736.4</v>
      </c>
      <c r="M179" s="277">
        <f t="shared" si="22"/>
        <v>13035.599999999999</v>
      </c>
      <c r="N179" s="277">
        <f t="shared" si="22"/>
        <v>13035.599999999999</v>
      </c>
      <c r="O179" s="277">
        <f t="shared" si="22"/>
        <v>61764.00000000001</v>
      </c>
      <c r="P179" s="277">
        <f t="shared" si="22"/>
        <v>0</v>
      </c>
      <c r="Q179" s="278">
        <f t="shared" si="22"/>
        <v>0</v>
      </c>
      <c r="R179" s="278">
        <f t="shared" si="22"/>
        <v>0</v>
      </c>
      <c r="S179" s="278">
        <f t="shared" si="22"/>
        <v>0</v>
      </c>
      <c r="T179" s="278">
        <f t="shared" si="22"/>
        <v>0</v>
      </c>
      <c r="U179" s="277">
        <f t="shared" si="22"/>
        <v>0</v>
      </c>
      <c r="V179" s="277">
        <f t="shared" si="22"/>
        <v>0</v>
      </c>
      <c r="W179" s="277">
        <f t="shared" si="22"/>
        <v>0</v>
      </c>
      <c r="X179" s="277">
        <f t="shared" si="22"/>
        <v>0</v>
      </c>
      <c r="Y179" s="278">
        <f t="shared" si="22"/>
        <v>0</v>
      </c>
      <c r="Z179" s="278">
        <f t="shared" si="22"/>
        <v>0</v>
      </c>
      <c r="AA179" s="278">
        <f t="shared" si="22"/>
        <v>0</v>
      </c>
      <c r="AB179" s="278">
        <f t="shared" si="22"/>
        <v>0</v>
      </c>
      <c r="AC179" s="277">
        <f t="shared" si="22"/>
        <v>0</v>
      </c>
      <c r="AD179" s="277">
        <f t="shared" si="22"/>
        <v>0</v>
      </c>
      <c r="AE179" s="277">
        <f t="shared" si="22"/>
        <v>0</v>
      </c>
      <c r="AF179" s="277">
        <f t="shared" si="22"/>
        <v>0</v>
      </c>
      <c r="AG179" s="278">
        <f t="shared" si="22"/>
        <v>0</v>
      </c>
    </row>
    <row r="180" spans="1:33" s="134" customFormat="1" ht="12.75">
      <c r="A180" s="252" t="s">
        <v>88</v>
      </c>
      <c r="E180" s="248">
        <f t="shared" si="21"/>
        <v>89917.8</v>
      </c>
      <c r="F180" s="248">
        <v>60</v>
      </c>
      <c r="G180" s="277">
        <f t="shared" si="22"/>
        <v>0</v>
      </c>
      <c r="H180" s="277">
        <f t="shared" si="22"/>
        <v>0</v>
      </c>
      <c r="I180" s="278">
        <f t="shared" si="22"/>
        <v>0</v>
      </c>
      <c r="J180" s="278">
        <f t="shared" si="22"/>
        <v>0</v>
      </c>
      <c r="K180" s="278">
        <f t="shared" si="22"/>
        <v>5406.9</v>
      </c>
      <c r="L180" s="278">
        <f t="shared" si="22"/>
        <v>5406.9</v>
      </c>
      <c r="M180" s="277">
        <f t="shared" si="22"/>
        <v>18450</v>
      </c>
      <c r="N180" s="277">
        <f t="shared" si="22"/>
        <v>18450</v>
      </c>
      <c r="O180" s="277">
        <f t="shared" si="22"/>
        <v>42204</v>
      </c>
      <c r="P180" s="277">
        <f t="shared" si="22"/>
        <v>0</v>
      </c>
      <c r="Q180" s="278">
        <f t="shared" si="22"/>
        <v>0</v>
      </c>
      <c r="R180" s="278">
        <f t="shared" si="22"/>
        <v>0</v>
      </c>
      <c r="S180" s="278">
        <f t="shared" si="22"/>
        <v>0</v>
      </c>
      <c r="T180" s="278">
        <f t="shared" si="22"/>
        <v>0</v>
      </c>
      <c r="U180" s="277">
        <f t="shared" si="22"/>
        <v>0</v>
      </c>
      <c r="V180" s="277">
        <f t="shared" si="22"/>
        <v>0</v>
      </c>
      <c r="W180" s="277">
        <f t="shared" si="22"/>
        <v>0</v>
      </c>
      <c r="X180" s="277">
        <f t="shared" si="22"/>
        <v>0</v>
      </c>
      <c r="Y180" s="278">
        <f t="shared" si="22"/>
        <v>0</v>
      </c>
      <c r="Z180" s="278">
        <f t="shared" si="22"/>
        <v>0</v>
      </c>
      <c r="AA180" s="278">
        <f t="shared" si="22"/>
        <v>0</v>
      </c>
      <c r="AB180" s="278">
        <f t="shared" si="22"/>
        <v>0</v>
      </c>
      <c r="AC180" s="277">
        <f t="shared" si="22"/>
        <v>0</v>
      </c>
      <c r="AD180" s="277">
        <f t="shared" si="22"/>
        <v>0</v>
      </c>
      <c r="AE180" s="277">
        <f t="shared" si="22"/>
        <v>0</v>
      </c>
      <c r="AF180" s="277">
        <f t="shared" si="22"/>
        <v>0</v>
      </c>
      <c r="AG180" s="278">
        <f t="shared" si="22"/>
        <v>0</v>
      </c>
    </row>
    <row r="181" spans="1:33" s="134" customFormat="1" ht="12.75">
      <c r="A181" s="252" t="s">
        <v>83</v>
      </c>
      <c r="E181" s="248">
        <f t="shared" si="21"/>
        <v>24203.399999999998</v>
      </c>
      <c r="F181" s="248">
        <v>60</v>
      </c>
      <c r="G181" s="277">
        <f t="shared" si="22"/>
        <v>0</v>
      </c>
      <c r="H181" s="277">
        <f t="shared" si="22"/>
        <v>0</v>
      </c>
      <c r="I181" s="278">
        <f t="shared" si="22"/>
        <v>0</v>
      </c>
      <c r="J181" s="278">
        <f t="shared" si="22"/>
        <v>0</v>
      </c>
      <c r="K181" s="278">
        <f t="shared" si="22"/>
        <v>680.4</v>
      </c>
      <c r="L181" s="278">
        <f t="shared" si="22"/>
        <v>680.4</v>
      </c>
      <c r="M181" s="277">
        <f t="shared" si="22"/>
        <v>491.4</v>
      </c>
      <c r="N181" s="277">
        <f t="shared" si="22"/>
        <v>491.4</v>
      </c>
      <c r="O181" s="277">
        <f t="shared" si="22"/>
        <v>21859.8</v>
      </c>
      <c r="P181" s="277">
        <f t="shared" si="22"/>
        <v>0</v>
      </c>
      <c r="Q181" s="278">
        <f t="shared" si="22"/>
        <v>0</v>
      </c>
      <c r="R181" s="278">
        <f t="shared" si="22"/>
        <v>0</v>
      </c>
      <c r="S181" s="278">
        <f t="shared" si="22"/>
        <v>0</v>
      </c>
      <c r="T181" s="278">
        <f t="shared" si="22"/>
        <v>0</v>
      </c>
      <c r="U181" s="277">
        <f t="shared" si="22"/>
        <v>0</v>
      </c>
      <c r="V181" s="277">
        <f t="shared" si="22"/>
        <v>0</v>
      </c>
      <c r="W181" s="277">
        <f t="shared" si="22"/>
        <v>0</v>
      </c>
      <c r="X181" s="277">
        <f t="shared" si="22"/>
        <v>0</v>
      </c>
      <c r="Y181" s="278">
        <f t="shared" si="22"/>
        <v>0</v>
      </c>
      <c r="Z181" s="278">
        <f t="shared" si="22"/>
        <v>0</v>
      </c>
      <c r="AA181" s="278">
        <f t="shared" si="22"/>
        <v>0</v>
      </c>
      <c r="AB181" s="278">
        <f t="shared" si="22"/>
        <v>0</v>
      </c>
      <c r="AC181" s="277">
        <f t="shared" si="22"/>
        <v>0</v>
      </c>
      <c r="AD181" s="277">
        <f t="shared" si="22"/>
        <v>0</v>
      </c>
      <c r="AE181" s="277">
        <f t="shared" si="22"/>
        <v>0</v>
      </c>
      <c r="AF181" s="277">
        <f t="shared" si="22"/>
        <v>0</v>
      </c>
      <c r="AG181" s="278">
        <f t="shared" si="22"/>
        <v>0</v>
      </c>
    </row>
    <row r="182" spans="1:33" s="134" customFormat="1" ht="12.75">
      <c r="A182" s="252" t="s">
        <v>85</v>
      </c>
      <c r="E182" s="248">
        <f t="shared" si="21"/>
        <v>61500</v>
      </c>
      <c r="F182" s="248">
        <v>60</v>
      </c>
      <c r="G182" s="277">
        <f t="shared" si="22"/>
        <v>0</v>
      </c>
      <c r="H182" s="277">
        <f t="shared" si="22"/>
        <v>0</v>
      </c>
      <c r="I182" s="278">
        <f t="shared" si="22"/>
        <v>0</v>
      </c>
      <c r="J182" s="278">
        <f t="shared" si="22"/>
        <v>0</v>
      </c>
      <c r="K182" s="278">
        <f t="shared" si="22"/>
        <v>7560</v>
      </c>
      <c r="L182" s="278">
        <f t="shared" si="22"/>
        <v>7560</v>
      </c>
      <c r="M182" s="277">
        <f t="shared" si="22"/>
        <v>7680</v>
      </c>
      <c r="N182" s="277">
        <f t="shared" si="22"/>
        <v>7680</v>
      </c>
      <c r="O182" s="277">
        <f t="shared" si="22"/>
        <v>31020</v>
      </c>
      <c r="P182" s="277">
        <f t="shared" si="22"/>
        <v>0</v>
      </c>
      <c r="Q182" s="278">
        <f t="shared" si="22"/>
        <v>0</v>
      </c>
      <c r="R182" s="278">
        <f t="shared" si="22"/>
        <v>0</v>
      </c>
      <c r="S182" s="278">
        <f t="shared" si="22"/>
        <v>0</v>
      </c>
      <c r="T182" s="278">
        <f t="shared" si="22"/>
        <v>0</v>
      </c>
      <c r="U182" s="277">
        <f t="shared" si="22"/>
        <v>0</v>
      </c>
      <c r="V182" s="277">
        <f t="shared" si="22"/>
        <v>0</v>
      </c>
      <c r="W182" s="277">
        <f t="shared" si="22"/>
        <v>0</v>
      </c>
      <c r="X182" s="277">
        <f t="shared" si="22"/>
        <v>0</v>
      </c>
      <c r="Y182" s="278">
        <f t="shared" si="22"/>
        <v>0</v>
      </c>
      <c r="Z182" s="278">
        <f t="shared" si="22"/>
        <v>0</v>
      </c>
      <c r="AA182" s="278">
        <f t="shared" si="22"/>
        <v>0</v>
      </c>
      <c r="AB182" s="278">
        <f t="shared" si="22"/>
        <v>0</v>
      </c>
      <c r="AC182" s="277">
        <f t="shared" si="22"/>
        <v>0</v>
      </c>
      <c r="AD182" s="277">
        <f t="shared" si="22"/>
        <v>0</v>
      </c>
      <c r="AE182" s="277">
        <f t="shared" si="22"/>
        <v>0</v>
      </c>
      <c r="AF182" s="277">
        <f t="shared" si="22"/>
        <v>0</v>
      </c>
      <c r="AG182" s="278">
        <f t="shared" si="22"/>
        <v>0</v>
      </c>
    </row>
    <row r="183" spans="1:33" s="134" customFormat="1" ht="12.75">
      <c r="A183" s="252" t="s">
        <v>89</v>
      </c>
      <c r="E183" s="248">
        <f t="shared" si="21"/>
        <v>9431.45</v>
      </c>
      <c r="F183" s="248">
        <v>35</v>
      </c>
      <c r="G183" s="277">
        <f t="shared" si="22"/>
        <v>0</v>
      </c>
      <c r="H183" s="277">
        <f t="shared" si="22"/>
        <v>0</v>
      </c>
      <c r="I183" s="278">
        <f t="shared" si="22"/>
        <v>0</v>
      </c>
      <c r="J183" s="278">
        <f t="shared" si="22"/>
        <v>0</v>
      </c>
      <c r="K183" s="278">
        <f t="shared" si="22"/>
        <v>196</v>
      </c>
      <c r="L183" s="278">
        <f t="shared" si="22"/>
        <v>196</v>
      </c>
      <c r="M183" s="277">
        <f t="shared" si="22"/>
        <v>812</v>
      </c>
      <c r="N183" s="277">
        <f t="shared" si="22"/>
        <v>812</v>
      </c>
      <c r="O183" s="277">
        <f t="shared" si="22"/>
        <v>7415.45</v>
      </c>
      <c r="P183" s="277">
        <f t="shared" si="22"/>
        <v>0</v>
      </c>
      <c r="Q183" s="278">
        <f t="shared" si="22"/>
        <v>0</v>
      </c>
      <c r="R183" s="278">
        <f t="shared" si="22"/>
        <v>0</v>
      </c>
      <c r="S183" s="278">
        <f aca="true" t="shared" si="23" ref="H183:AG187">$F183*S112</f>
        <v>0</v>
      </c>
      <c r="T183" s="278">
        <f t="shared" si="23"/>
        <v>0</v>
      </c>
      <c r="U183" s="277">
        <f t="shared" si="23"/>
        <v>0</v>
      </c>
      <c r="V183" s="277">
        <f t="shared" si="23"/>
        <v>0</v>
      </c>
      <c r="W183" s="277">
        <f t="shared" si="23"/>
        <v>0</v>
      </c>
      <c r="X183" s="277">
        <f t="shared" si="23"/>
        <v>0</v>
      </c>
      <c r="Y183" s="278">
        <f t="shared" si="23"/>
        <v>0</v>
      </c>
      <c r="Z183" s="278">
        <f t="shared" si="23"/>
        <v>0</v>
      </c>
      <c r="AA183" s="278">
        <f t="shared" si="23"/>
        <v>0</v>
      </c>
      <c r="AB183" s="278">
        <f t="shared" si="23"/>
        <v>0</v>
      </c>
      <c r="AC183" s="277">
        <f t="shared" si="23"/>
        <v>0</v>
      </c>
      <c r="AD183" s="277">
        <f t="shared" si="23"/>
        <v>0</v>
      </c>
      <c r="AE183" s="277">
        <f t="shared" si="23"/>
        <v>0</v>
      </c>
      <c r="AF183" s="277">
        <f t="shared" si="23"/>
        <v>0</v>
      </c>
      <c r="AG183" s="278">
        <f t="shared" si="23"/>
        <v>0</v>
      </c>
    </row>
    <row r="184" spans="1:33" s="134" customFormat="1" ht="12.75">
      <c r="A184" s="252" t="s">
        <v>90</v>
      </c>
      <c r="E184" s="248">
        <f t="shared" si="21"/>
        <v>8857.23</v>
      </c>
      <c r="F184" s="248">
        <v>57</v>
      </c>
      <c r="G184" s="277">
        <f>$F184*G113</f>
        <v>0</v>
      </c>
      <c r="H184" s="277">
        <f t="shared" si="23"/>
        <v>0</v>
      </c>
      <c r="I184" s="278">
        <f t="shared" si="23"/>
        <v>0</v>
      </c>
      <c r="J184" s="278">
        <f t="shared" si="23"/>
        <v>0</v>
      </c>
      <c r="K184" s="278">
        <f t="shared" si="23"/>
        <v>646.38</v>
      </c>
      <c r="L184" s="278">
        <f t="shared" si="23"/>
        <v>646.38</v>
      </c>
      <c r="M184" s="277">
        <f t="shared" si="23"/>
        <v>466.83</v>
      </c>
      <c r="N184" s="277">
        <f t="shared" si="23"/>
        <v>466.83</v>
      </c>
      <c r="O184" s="277">
        <f t="shared" si="23"/>
        <v>6630.8099999999995</v>
      </c>
      <c r="P184" s="277">
        <f t="shared" si="23"/>
        <v>0</v>
      </c>
      <c r="Q184" s="278">
        <f t="shared" si="23"/>
        <v>0</v>
      </c>
      <c r="R184" s="278">
        <f t="shared" si="23"/>
        <v>0</v>
      </c>
      <c r="S184" s="278">
        <f t="shared" si="23"/>
        <v>0</v>
      </c>
      <c r="T184" s="278">
        <f t="shared" si="23"/>
        <v>0</v>
      </c>
      <c r="U184" s="277">
        <f t="shared" si="23"/>
        <v>0</v>
      </c>
      <c r="V184" s="277">
        <f t="shared" si="23"/>
        <v>0</v>
      </c>
      <c r="W184" s="277">
        <f t="shared" si="23"/>
        <v>0</v>
      </c>
      <c r="X184" s="277">
        <f t="shared" si="23"/>
        <v>0</v>
      </c>
      <c r="Y184" s="278">
        <f t="shared" si="23"/>
        <v>0</v>
      </c>
      <c r="Z184" s="278">
        <f t="shared" si="23"/>
        <v>0</v>
      </c>
      <c r="AA184" s="278">
        <f t="shared" si="23"/>
        <v>0</v>
      </c>
      <c r="AB184" s="278">
        <f t="shared" si="23"/>
        <v>0</v>
      </c>
      <c r="AC184" s="277">
        <f t="shared" si="23"/>
        <v>0</v>
      </c>
      <c r="AD184" s="277">
        <f t="shared" si="23"/>
        <v>0</v>
      </c>
      <c r="AE184" s="277">
        <f t="shared" si="23"/>
        <v>0</v>
      </c>
      <c r="AF184" s="277">
        <f t="shared" si="23"/>
        <v>0</v>
      </c>
      <c r="AG184" s="278">
        <f t="shared" si="23"/>
        <v>0</v>
      </c>
    </row>
    <row r="185" spans="1:33" s="134" customFormat="1" ht="12.75">
      <c r="A185" s="252" t="s">
        <v>91</v>
      </c>
      <c r="E185" s="248">
        <f t="shared" si="21"/>
        <v>4297.23</v>
      </c>
      <c r="F185" s="248">
        <v>57</v>
      </c>
      <c r="G185" s="277">
        <f>$F185*G114</f>
        <v>0</v>
      </c>
      <c r="H185" s="277">
        <f t="shared" si="23"/>
        <v>0</v>
      </c>
      <c r="I185" s="278">
        <f t="shared" si="23"/>
        <v>0</v>
      </c>
      <c r="J185" s="278">
        <f t="shared" si="23"/>
        <v>0</v>
      </c>
      <c r="K185" s="278">
        <f t="shared" si="23"/>
        <v>646.38</v>
      </c>
      <c r="L185" s="278">
        <f t="shared" si="23"/>
        <v>646.38</v>
      </c>
      <c r="M185" s="277">
        <f t="shared" si="23"/>
        <v>466.83</v>
      </c>
      <c r="N185" s="277">
        <f t="shared" si="23"/>
        <v>466.83</v>
      </c>
      <c r="O185" s="277">
        <f t="shared" si="23"/>
        <v>2070.81</v>
      </c>
      <c r="P185" s="277">
        <f t="shared" si="23"/>
        <v>0</v>
      </c>
      <c r="Q185" s="278">
        <f t="shared" si="23"/>
        <v>0</v>
      </c>
      <c r="R185" s="278">
        <f t="shared" si="23"/>
        <v>0</v>
      </c>
      <c r="S185" s="278">
        <f t="shared" si="23"/>
        <v>0</v>
      </c>
      <c r="T185" s="278">
        <f t="shared" si="23"/>
        <v>0</v>
      </c>
      <c r="U185" s="277">
        <f t="shared" si="23"/>
        <v>0</v>
      </c>
      <c r="V185" s="277">
        <f t="shared" si="23"/>
        <v>0</v>
      </c>
      <c r="W185" s="277">
        <f t="shared" si="23"/>
        <v>0</v>
      </c>
      <c r="X185" s="277">
        <f t="shared" si="23"/>
        <v>0</v>
      </c>
      <c r="Y185" s="278">
        <f t="shared" si="23"/>
        <v>0</v>
      </c>
      <c r="Z185" s="278">
        <f t="shared" si="23"/>
        <v>0</v>
      </c>
      <c r="AA185" s="278">
        <f t="shared" si="23"/>
        <v>0</v>
      </c>
      <c r="AB185" s="278">
        <f t="shared" si="23"/>
        <v>0</v>
      </c>
      <c r="AC185" s="277">
        <f t="shared" si="23"/>
        <v>0</v>
      </c>
      <c r="AD185" s="277">
        <f t="shared" si="23"/>
        <v>0</v>
      </c>
      <c r="AE185" s="277">
        <f t="shared" si="23"/>
        <v>0</v>
      </c>
      <c r="AF185" s="277">
        <f t="shared" si="23"/>
        <v>0</v>
      </c>
      <c r="AG185" s="278">
        <f t="shared" si="23"/>
        <v>0</v>
      </c>
    </row>
    <row r="186" spans="1:33" s="134" customFormat="1" ht="12.75">
      <c r="A186" s="252" t="s">
        <v>92</v>
      </c>
      <c r="E186" s="248">
        <f t="shared" si="21"/>
        <v>5437.23</v>
      </c>
      <c r="F186" s="248">
        <v>57</v>
      </c>
      <c r="G186" s="277">
        <f>$F186*G115</f>
        <v>0</v>
      </c>
      <c r="H186" s="277">
        <f t="shared" si="23"/>
        <v>0</v>
      </c>
      <c r="I186" s="278">
        <f t="shared" si="23"/>
        <v>0</v>
      </c>
      <c r="J186" s="278">
        <f t="shared" si="23"/>
        <v>0</v>
      </c>
      <c r="K186" s="278">
        <f t="shared" si="23"/>
        <v>646.38</v>
      </c>
      <c r="L186" s="278">
        <f t="shared" si="23"/>
        <v>646.38</v>
      </c>
      <c r="M186" s="277">
        <f t="shared" si="23"/>
        <v>466.83</v>
      </c>
      <c r="N186" s="277">
        <f t="shared" si="23"/>
        <v>466.83</v>
      </c>
      <c r="O186" s="277">
        <f t="shared" si="23"/>
        <v>3210.81</v>
      </c>
      <c r="P186" s="277">
        <f t="shared" si="23"/>
        <v>0</v>
      </c>
      <c r="Q186" s="278">
        <f t="shared" si="23"/>
        <v>0</v>
      </c>
      <c r="R186" s="278">
        <f t="shared" si="23"/>
        <v>0</v>
      </c>
      <c r="S186" s="278">
        <f t="shared" si="23"/>
        <v>0</v>
      </c>
      <c r="T186" s="278">
        <f t="shared" si="23"/>
        <v>0</v>
      </c>
      <c r="U186" s="277">
        <f t="shared" si="23"/>
        <v>0</v>
      </c>
      <c r="V186" s="277">
        <f t="shared" si="23"/>
        <v>0</v>
      </c>
      <c r="W186" s="277">
        <f t="shared" si="23"/>
        <v>0</v>
      </c>
      <c r="X186" s="277">
        <f t="shared" si="23"/>
        <v>0</v>
      </c>
      <c r="Y186" s="278">
        <f t="shared" si="23"/>
        <v>0</v>
      </c>
      <c r="Z186" s="278">
        <f t="shared" si="23"/>
        <v>0</v>
      </c>
      <c r="AA186" s="278">
        <f t="shared" si="23"/>
        <v>0</v>
      </c>
      <c r="AB186" s="278">
        <f t="shared" si="23"/>
        <v>0</v>
      </c>
      <c r="AC186" s="277">
        <f t="shared" si="23"/>
        <v>0</v>
      </c>
      <c r="AD186" s="277">
        <f t="shared" si="23"/>
        <v>0</v>
      </c>
      <c r="AE186" s="277">
        <f t="shared" si="23"/>
        <v>0</v>
      </c>
      <c r="AF186" s="277">
        <f t="shared" si="23"/>
        <v>0</v>
      </c>
      <c r="AG186" s="278">
        <f t="shared" si="23"/>
        <v>0</v>
      </c>
    </row>
    <row r="187" spans="1:33" s="134" customFormat="1" ht="12.75">
      <c r="A187" s="252" t="s">
        <v>93</v>
      </c>
      <c r="E187" s="248">
        <f t="shared" si="21"/>
        <v>4297.23</v>
      </c>
      <c r="F187" s="248">
        <v>57</v>
      </c>
      <c r="G187" s="277">
        <f>$F187*G116</f>
        <v>0</v>
      </c>
      <c r="H187" s="277">
        <f t="shared" si="23"/>
        <v>0</v>
      </c>
      <c r="I187" s="278">
        <f t="shared" si="23"/>
        <v>0</v>
      </c>
      <c r="J187" s="278">
        <f t="shared" si="23"/>
        <v>0</v>
      </c>
      <c r="K187" s="278">
        <f t="shared" si="23"/>
        <v>646.38</v>
      </c>
      <c r="L187" s="278">
        <f t="shared" si="23"/>
        <v>646.38</v>
      </c>
      <c r="M187" s="277">
        <f t="shared" si="23"/>
        <v>466.83</v>
      </c>
      <c r="N187" s="277">
        <f t="shared" si="23"/>
        <v>466.83</v>
      </c>
      <c r="O187" s="277">
        <f t="shared" si="23"/>
        <v>2070.81</v>
      </c>
      <c r="P187" s="277">
        <f t="shared" si="23"/>
        <v>0</v>
      </c>
      <c r="Q187" s="278">
        <f t="shared" si="23"/>
        <v>0</v>
      </c>
      <c r="R187" s="278">
        <f t="shared" si="23"/>
        <v>0</v>
      </c>
      <c r="S187" s="278">
        <f t="shared" si="23"/>
        <v>0</v>
      </c>
      <c r="T187" s="278">
        <f t="shared" si="23"/>
        <v>0</v>
      </c>
      <c r="U187" s="277">
        <f t="shared" si="23"/>
        <v>0</v>
      </c>
      <c r="V187" s="277">
        <f t="shared" si="23"/>
        <v>0</v>
      </c>
      <c r="W187" s="277">
        <f t="shared" si="23"/>
        <v>0</v>
      </c>
      <c r="X187" s="277">
        <f t="shared" si="23"/>
        <v>0</v>
      </c>
      <c r="Y187" s="278">
        <f t="shared" si="23"/>
        <v>0</v>
      </c>
      <c r="Z187" s="278">
        <f t="shared" si="23"/>
        <v>0</v>
      </c>
      <c r="AA187" s="278">
        <f t="shared" si="23"/>
        <v>0</v>
      </c>
      <c r="AB187" s="278">
        <f t="shared" si="23"/>
        <v>0</v>
      </c>
      <c r="AC187" s="277">
        <f t="shared" si="23"/>
        <v>0</v>
      </c>
      <c r="AD187" s="277">
        <f t="shared" si="23"/>
        <v>0</v>
      </c>
      <c r="AE187" s="277">
        <f t="shared" si="23"/>
        <v>0</v>
      </c>
      <c r="AF187" s="277">
        <f t="shared" si="23"/>
        <v>0</v>
      </c>
      <c r="AG187" s="278">
        <f t="shared" si="23"/>
        <v>0</v>
      </c>
    </row>
    <row r="188" spans="1:33" s="134" customFormat="1" ht="12.75">
      <c r="A188" s="247" t="s">
        <v>699</v>
      </c>
      <c r="E188" s="248"/>
      <c r="F188" s="248"/>
      <c r="G188" s="277"/>
      <c r="H188" s="277"/>
      <c r="I188" s="278"/>
      <c r="J188" s="278"/>
      <c r="K188" s="278"/>
      <c r="L188" s="278"/>
      <c r="M188" s="277"/>
      <c r="N188" s="277"/>
      <c r="O188" s="277"/>
      <c r="P188" s="277"/>
      <c r="Q188" s="278"/>
      <c r="R188" s="278"/>
      <c r="S188" s="278"/>
      <c r="T188" s="278"/>
      <c r="U188" s="277"/>
      <c r="V188" s="277"/>
      <c r="W188" s="277"/>
      <c r="X188" s="277"/>
      <c r="Y188" s="278"/>
      <c r="Z188" s="278"/>
      <c r="AA188" s="278"/>
      <c r="AB188" s="278"/>
      <c r="AC188" s="277"/>
      <c r="AD188" s="277"/>
      <c r="AE188" s="277"/>
      <c r="AF188" s="277"/>
      <c r="AG188" s="278"/>
    </row>
    <row r="189" spans="1:33" s="134" customFormat="1" ht="12.75">
      <c r="A189" s="252" t="s">
        <v>843</v>
      </c>
      <c r="E189" s="248"/>
      <c r="F189" s="248"/>
      <c r="G189" s="277"/>
      <c r="H189" s="277"/>
      <c r="I189" s="278"/>
      <c r="J189" s="278"/>
      <c r="K189" s="278"/>
      <c r="L189" s="278"/>
      <c r="M189" s="277"/>
      <c r="N189" s="277"/>
      <c r="O189" s="277"/>
      <c r="P189" s="277"/>
      <c r="Q189" s="278"/>
      <c r="R189" s="278"/>
      <c r="S189" s="278"/>
      <c r="T189" s="278"/>
      <c r="U189" s="277"/>
      <c r="V189" s="277"/>
      <c r="W189" s="277"/>
      <c r="X189" s="277"/>
      <c r="Y189" s="278"/>
      <c r="Z189" s="278"/>
      <c r="AA189" s="278"/>
      <c r="AB189" s="278"/>
      <c r="AC189" s="277"/>
      <c r="AD189" s="277"/>
      <c r="AE189" s="277"/>
      <c r="AF189" s="277"/>
      <c r="AG189" s="278"/>
    </row>
    <row r="190" spans="1:33" s="134" customFormat="1" ht="12.75">
      <c r="A190" s="271" t="s">
        <v>78</v>
      </c>
      <c r="E190" s="248">
        <f aca="true" t="shared" si="24" ref="E190:E203">SUM(G190:AG190)</f>
        <v>84821.52</v>
      </c>
      <c r="F190" s="248">
        <v>87</v>
      </c>
      <c r="G190" s="277">
        <f aca="true" t="shared" si="25" ref="G190:AG199">$F190*G119</f>
        <v>0</v>
      </c>
      <c r="H190" s="277">
        <f t="shared" si="25"/>
        <v>0</v>
      </c>
      <c r="I190" s="278">
        <f t="shared" si="25"/>
        <v>0</v>
      </c>
      <c r="J190" s="278">
        <f t="shared" si="25"/>
        <v>0</v>
      </c>
      <c r="K190" s="278">
        <f t="shared" si="25"/>
        <v>0</v>
      </c>
      <c r="L190" s="278">
        <f t="shared" si="25"/>
        <v>0</v>
      </c>
      <c r="M190" s="277">
        <f t="shared" si="25"/>
        <v>0</v>
      </c>
      <c r="N190" s="277">
        <f t="shared" si="25"/>
        <v>0</v>
      </c>
      <c r="O190" s="277">
        <f t="shared" si="25"/>
        <v>0</v>
      </c>
      <c r="P190" s="277">
        <f t="shared" si="25"/>
        <v>12443.61</v>
      </c>
      <c r="Q190" s="278">
        <f t="shared" si="25"/>
        <v>7293.21</v>
      </c>
      <c r="R190" s="278">
        <f t="shared" si="25"/>
        <v>7281.900000000001</v>
      </c>
      <c r="S190" s="278">
        <f t="shared" si="25"/>
        <v>7393.26</v>
      </c>
      <c r="T190" s="278">
        <f t="shared" si="25"/>
        <v>7281.900000000001</v>
      </c>
      <c r="U190" s="277">
        <f t="shared" si="25"/>
        <v>6048.24</v>
      </c>
      <c r="V190" s="277">
        <f t="shared" si="25"/>
        <v>4160.34</v>
      </c>
      <c r="W190" s="277">
        <f t="shared" si="25"/>
        <v>19695.06</v>
      </c>
      <c r="X190" s="277">
        <f t="shared" si="25"/>
        <v>9744</v>
      </c>
      <c r="Y190" s="278">
        <f t="shared" si="25"/>
        <v>3480</v>
      </c>
      <c r="Z190" s="278">
        <f t="shared" si="25"/>
        <v>0</v>
      </c>
      <c r="AA190" s="278">
        <f t="shared" si="25"/>
        <v>0</v>
      </c>
      <c r="AB190" s="278">
        <f t="shared" si="25"/>
        <v>0</v>
      </c>
      <c r="AC190" s="277">
        <f t="shared" si="25"/>
        <v>0</v>
      </c>
      <c r="AD190" s="277">
        <f t="shared" si="25"/>
        <v>0</v>
      </c>
      <c r="AE190" s="277">
        <f t="shared" si="25"/>
        <v>0</v>
      </c>
      <c r="AF190" s="277">
        <f t="shared" si="25"/>
        <v>0</v>
      </c>
      <c r="AG190" s="278">
        <f t="shared" si="25"/>
        <v>0</v>
      </c>
    </row>
    <row r="191" spans="1:33" s="134" customFormat="1" ht="12.75">
      <c r="A191" s="271" t="s">
        <v>79</v>
      </c>
      <c r="E191" s="248">
        <f t="shared" si="24"/>
        <v>0</v>
      </c>
      <c r="F191" s="248">
        <v>0</v>
      </c>
      <c r="G191" s="277">
        <f t="shared" si="25"/>
        <v>0</v>
      </c>
      <c r="H191" s="277">
        <f t="shared" si="25"/>
        <v>0</v>
      </c>
      <c r="I191" s="278">
        <f t="shared" si="25"/>
        <v>0</v>
      </c>
      <c r="J191" s="278">
        <f t="shared" si="25"/>
        <v>0</v>
      </c>
      <c r="K191" s="278">
        <f t="shared" si="25"/>
        <v>0</v>
      </c>
      <c r="L191" s="278">
        <f t="shared" si="25"/>
        <v>0</v>
      </c>
      <c r="M191" s="277">
        <f t="shared" si="25"/>
        <v>0</v>
      </c>
      <c r="N191" s="277">
        <f t="shared" si="25"/>
        <v>0</v>
      </c>
      <c r="O191" s="277">
        <f t="shared" si="25"/>
        <v>0</v>
      </c>
      <c r="P191" s="277">
        <f t="shared" si="25"/>
        <v>0</v>
      </c>
      <c r="Q191" s="278">
        <f t="shared" si="25"/>
        <v>0</v>
      </c>
      <c r="R191" s="278">
        <f t="shared" si="25"/>
        <v>0</v>
      </c>
      <c r="S191" s="278">
        <f t="shared" si="25"/>
        <v>0</v>
      </c>
      <c r="T191" s="278">
        <f t="shared" si="25"/>
        <v>0</v>
      </c>
      <c r="U191" s="277">
        <f t="shared" si="25"/>
        <v>0</v>
      </c>
      <c r="V191" s="277">
        <f t="shared" si="25"/>
        <v>0</v>
      </c>
      <c r="W191" s="277">
        <f t="shared" si="25"/>
        <v>0</v>
      </c>
      <c r="X191" s="277">
        <f t="shared" si="25"/>
        <v>0</v>
      </c>
      <c r="Y191" s="278">
        <f t="shared" si="25"/>
        <v>0</v>
      </c>
      <c r="Z191" s="278">
        <f t="shared" si="25"/>
        <v>0</v>
      </c>
      <c r="AA191" s="278">
        <f t="shared" si="25"/>
        <v>0</v>
      </c>
      <c r="AB191" s="278">
        <f t="shared" si="25"/>
        <v>0</v>
      </c>
      <c r="AC191" s="277">
        <f t="shared" si="25"/>
        <v>0</v>
      </c>
      <c r="AD191" s="277">
        <f t="shared" si="25"/>
        <v>0</v>
      </c>
      <c r="AE191" s="277">
        <f t="shared" si="25"/>
        <v>0</v>
      </c>
      <c r="AF191" s="277">
        <f t="shared" si="25"/>
        <v>0</v>
      </c>
      <c r="AG191" s="278">
        <f t="shared" si="25"/>
        <v>0</v>
      </c>
    </row>
    <row r="192" spans="1:33" s="134" customFormat="1" ht="12.75">
      <c r="A192" s="271" t="s">
        <v>81</v>
      </c>
      <c r="E192" s="248">
        <f t="shared" si="24"/>
        <v>0</v>
      </c>
      <c r="F192" s="248">
        <v>0</v>
      </c>
      <c r="G192" s="277">
        <f t="shared" si="25"/>
        <v>0</v>
      </c>
      <c r="H192" s="277">
        <f t="shared" si="25"/>
        <v>0</v>
      </c>
      <c r="I192" s="278">
        <f t="shared" si="25"/>
        <v>0</v>
      </c>
      <c r="J192" s="278">
        <f t="shared" si="25"/>
        <v>0</v>
      </c>
      <c r="K192" s="278">
        <f t="shared" si="25"/>
        <v>0</v>
      </c>
      <c r="L192" s="278">
        <f t="shared" si="25"/>
        <v>0</v>
      </c>
      <c r="M192" s="277">
        <f t="shared" si="25"/>
        <v>0</v>
      </c>
      <c r="N192" s="277">
        <f t="shared" si="25"/>
        <v>0</v>
      </c>
      <c r="O192" s="277">
        <f t="shared" si="25"/>
        <v>0</v>
      </c>
      <c r="P192" s="277">
        <f t="shared" si="25"/>
        <v>0</v>
      </c>
      <c r="Q192" s="278">
        <f t="shared" si="25"/>
        <v>0</v>
      </c>
      <c r="R192" s="278">
        <f t="shared" si="25"/>
        <v>0</v>
      </c>
      <c r="S192" s="278">
        <f t="shared" si="25"/>
        <v>0</v>
      </c>
      <c r="T192" s="278">
        <f t="shared" si="25"/>
        <v>0</v>
      </c>
      <c r="U192" s="277">
        <f t="shared" si="25"/>
        <v>0</v>
      </c>
      <c r="V192" s="277">
        <f t="shared" si="25"/>
        <v>0</v>
      </c>
      <c r="W192" s="277">
        <f t="shared" si="25"/>
        <v>0</v>
      </c>
      <c r="X192" s="277">
        <f t="shared" si="25"/>
        <v>0</v>
      </c>
      <c r="Y192" s="278">
        <f t="shared" si="25"/>
        <v>0</v>
      </c>
      <c r="Z192" s="278">
        <f t="shared" si="25"/>
        <v>0</v>
      </c>
      <c r="AA192" s="278">
        <f t="shared" si="25"/>
        <v>0</v>
      </c>
      <c r="AB192" s="278">
        <f t="shared" si="25"/>
        <v>0</v>
      </c>
      <c r="AC192" s="277">
        <f t="shared" si="25"/>
        <v>0</v>
      </c>
      <c r="AD192" s="277">
        <f t="shared" si="25"/>
        <v>0</v>
      </c>
      <c r="AE192" s="277">
        <f t="shared" si="25"/>
        <v>0</v>
      </c>
      <c r="AF192" s="277">
        <f t="shared" si="25"/>
        <v>0</v>
      </c>
      <c r="AG192" s="278">
        <f t="shared" si="25"/>
        <v>0</v>
      </c>
    </row>
    <row r="193" spans="1:33" s="134" customFormat="1" ht="12.75">
      <c r="A193" s="271" t="s">
        <v>84</v>
      </c>
      <c r="E193" s="248">
        <f t="shared" si="24"/>
        <v>48440</v>
      </c>
      <c r="F193" s="248">
        <v>70</v>
      </c>
      <c r="G193" s="277">
        <f t="shared" si="25"/>
        <v>0</v>
      </c>
      <c r="H193" s="277">
        <f t="shared" si="25"/>
        <v>0</v>
      </c>
      <c r="I193" s="278">
        <f t="shared" si="25"/>
        <v>0</v>
      </c>
      <c r="J193" s="278">
        <f t="shared" si="25"/>
        <v>0</v>
      </c>
      <c r="K193" s="278">
        <f t="shared" si="25"/>
        <v>0</v>
      </c>
      <c r="L193" s="278">
        <f t="shared" si="25"/>
        <v>0</v>
      </c>
      <c r="M193" s="277">
        <f t="shared" si="25"/>
        <v>0</v>
      </c>
      <c r="N193" s="277">
        <f t="shared" si="25"/>
        <v>0</v>
      </c>
      <c r="O193" s="277">
        <f t="shared" si="25"/>
        <v>0</v>
      </c>
      <c r="P193" s="277">
        <f t="shared" si="25"/>
        <v>6160</v>
      </c>
      <c r="Q193" s="278">
        <f t="shared" si="25"/>
        <v>1120</v>
      </c>
      <c r="R193" s="278">
        <f t="shared" si="25"/>
        <v>19142.9</v>
      </c>
      <c r="S193" s="278">
        <f t="shared" si="25"/>
        <v>177.1</v>
      </c>
      <c r="T193" s="278">
        <f t="shared" si="25"/>
        <v>4480</v>
      </c>
      <c r="U193" s="277">
        <f t="shared" si="25"/>
        <v>5600</v>
      </c>
      <c r="V193" s="277">
        <f t="shared" si="25"/>
        <v>5600</v>
      </c>
      <c r="W193" s="277">
        <f t="shared" si="25"/>
        <v>3360</v>
      </c>
      <c r="X193" s="277">
        <f t="shared" si="25"/>
        <v>2800</v>
      </c>
      <c r="Y193" s="278">
        <f t="shared" si="25"/>
        <v>0</v>
      </c>
      <c r="Z193" s="278">
        <f t="shared" si="25"/>
        <v>0</v>
      </c>
      <c r="AA193" s="278">
        <f t="shared" si="25"/>
        <v>0</v>
      </c>
      <c r="AB193" s="278">
        <f t="shared" si="25"/>
        <v>0</v>
      </c>
      <c r="AC193" s="277">
        <f t="shared" si="25"/>
        <v>0</v>
      </c>
      <c r="AD193" s="277">
        <f t="shared" si="25"/>
        <v>0</v>
      </c>
      <c r="AE193" s="277">
        <f t="shared" si="25"/>
        <v>0</v>
      </c>
      <c r="AF193" s="277">
        <f t="shared" si="25"/>
        <v>0</v>
      </c>
      <c r="AG193" s="278">
        <f t="shared" si="25"/>
        <v>0</v>
      </c>
    </row>
    <row r="194" spans="1:33" s="134" customFormat="1" ht="12.75">
      <c r="A194" s="271" t="s">
        <v>86</v>
      </c>
      <c r="E194" s="248">
        <f t="shared" si="24"/>
        <v>89034.4</v>
      </c>
      <c r="F194" s="248">
        <v>70</v>
      </c>
      <c r="G194" s="277">
        <f t="shared" si="25"/>
        <v>0</v>
      </c>
      <c r="H194" s="277">
        <f t="shared" si="25"/>
        <v>0</v>
      </c>
      <c r="I194" s="278">
        <f t="shared" si="25"/>
        <v>0</v>
      </c>
      <c r="J194" s="278">
        <f t="shared" si="25"/>
        <v>0</v>
      </c>
      <c r="K194" s="278">
        <f t="shared" si="25"/>
        <v>0</v>
      </c>
      <c r="L194" s="278">
        <f t="shared" si="25"/>
        <v>0</v>
      </c>
      <c r="M194" s="277">
        <f t="shared" si="25"/>
        <v>0</v>
      </c>
      <c r="N194" s="277">
        <f t="shared" si="25"/>
        <v>0</v>
      </c>
      <c r="O194" s="277">
        <f t="shared" si="25"/>
        <v>0</v>
      </c>
      <c r="P194" s="277">
        <f t="shared" si="25"/>
        <v>8107.4</v>
      </c>
      <c r="Q194" s="278">
        <f t="shared" si="25"/>
        <v>4534.6</v>
      </c>
      <c r="R194" s="278">
        <f t="shared" si="25"/>
        <v>5729.5</v>
      </c>
      <c r="S194" s="278">
        <f t="shared" si="25"/>
        <v>9461.9</v>
      </c>
      <c r="T194" s="278">
        <f t="shared" si="25"/>
        <v>12346.6</v>
      </c>
      <c r="U194" s="277">
        <f t="shared" si="25"/>
        <v>11894.4</v>
      </c>
      <c r="V194" s="277">
        <f t="shared" si="25"/>
        <v>16800</v>
      </c>
      <c r="W194" s="277">
        <f t="shared" si="25"/>
        <v>14560</v>
      </c>
      <c r="X194" s="277">
        <f t="shared" si="25"/>
        <v>5600</v>
      </c>
      <c r="Y194" s="278">
        <f t="shared" si="25"/>
        <v>0</v>
      </c>
      <c r="Z194" s="278">
        <f t="shared" si="25"/>
        <v>0</v>
      </c>
      <c r="AA194" s="278">
        <f t="shared" si="25"/>
        <v>0</v>
      </c>
      <c r="AB194" s="278">
        <f t="shared" si="25"/>
        <v>0</v>
      </c>
      <c r="AC194" s="277">
        <f t="shared" si="25"/>
        <v>0</v>
      </c>
      <c r="AD194" s="277">
        <f t="shared" si="25"/>
        <v>0</v>
      </c>
      <c r="AE194" s="277">
        <f t="shared" si="25"/>
        <v>0</v>
      </c>
      <c r="AF194" s="277">
        <f t="shared" si="25"/>
        <v>0</v>
      </c>
      <c r="AG194" s="278">
        <f t="shared" si="25"/>
        <v>0</v>
      </c>
    </row>
    <row r="195" spans="1:33" s="134" customFormat="1" ht="12.75">
      <c r="A195" s="271" t="s">
        <v>87</v>
      </c>
      <c r="E195" s="248">
        <f t="shared" si="24"/>
        <v>102802.8</v>
      </c>
      <c r="F195" s="248">
        <v>60</v>
      </c>
      <c r="G195" s="277">
        <f t="shared" si="25"/>
        <v>0</v>
      </c>
      <c r="H195" s="277">
        <f t="shared" si="25"/>
        <v>0</v>
      </c>
      <c r="I195" s="278">
        <f t="shared" si="25"/>
        <v>0</v>
      </c>
      <c r="J195" s="278">
        <f t="shared" si="25"/>
        <v>0</v>
      </c>
      <c r="K195" s="278">
        <f t="shared" si="25"/>
        <v>0</v>
      </c>
      <c r="L195" s="278">
        <f t="shared" si="25"/>
        <v>0</v>
      </c>
      <c r="M195" s="277">
        <f t="shared" si="25"/>
        <v>0</v>
      </c>
      <c r="N195" s="277">
        <f t="shared" si="25"/>
        <v>0</v>
      </c>
      <c r="O195" s="277">
        <f t="shared" si="25"/>
        <v>0</v>
      </c>
      <c r="P195" s="277">
        <f t="shared" si="25"/>
        <v>18165</v>
      </c>
      <c r="Q195" s="278">
        <f t="shared" si="25"/>
        <v>19680</v>
      </c>
      <c r="R195" s="278">
        <f t="shared" si="25"/>
        <v>15831.000000000002</v>
      </c>
      <c r="S195" s="278">
        <f t="shared" si="25"/>
        <v>8668.8</v>
      </c>
      <c r="T195" s="278">
        <f t="shared" si="25"/>
        <v>10582.8</v>
      </c>
      <c r="U195" s="277">
        <f t="shared" si="25"/>
        <v>10195.199999999999</v>
      </c>
      <c r="V195" s="277">
        <f t="shared" si="25"/>
        <v>14488.2</v>
      </c>
      <c r="W195" s="277">
        <f t="shared" si="25"/>
        <v>5191.8</v>
      </c>
      <c r="X195" s="277">
        <f t="shared" si="25"/>
        <v>0</v>
      </c>
      <c r="Y195" s="278">
        <f t="shared" si="25"/>
        <v>0</v>
      </c>
      <c r="Z195" s="278">
        <f t="shared" si="25"/>
        <v>0</v>
      </c>
      <c r="AA195" s="278">
        <f t="shared" si="25"/>
        <v>0</v>
      </c>
      <c r="AB195" s="278">
        <f t="shared" si="25"/>
        <v>0</v>
      </c>
      <c r="AC195" s="277">
        <f t="shared" si="25"/>
        <v>0</v>
      </c>
      <c r="AD195" s="277">
        <f t="shared" si="25"/>
        <v>0</v>
      </c>
      <c r="AE195" s="277">
        <f t="shared" si="25"/>
        <v>0</v>
      </c>
      <c r="AF195" s="277">
        <f t="shared" si="25"/>
        <v>0</v>
      </c>
      <c r="AG195" s="278">
        <f t="shared" si="25"/>
        <v>0</v>
      </c>
    </row>
    <row r="196" spans="1:33" s="134" customFormat="1" ht="12.75">
      <c r="A196" s="271" t="s">
        <v>88</v>
      </c>
      <c r="E196" s="248">
        <f t="shared" si="24"/>
        <v>48924.6</v>
      </c>
      <c r="F196" s="248">
        <v>60</v>
      </c>
      <c r="G196" s="277">
        <f t="shared" si="25"/>
        <v>0</v>
      </c>
      <c r="H196" s="277">
        <f t="shared" si="25"/>
        <v>0</v>
      </c>
      <c r="I196" s="278">
        <f t="shared" si="25"/>
        <v>0</v>
      </c>
      <c r="J196" s="278">
        <f t="shared" si="25"/>
        <v>0</v>
      </c>
      <c r="K196" s="278">
        <f t="shared" si="25"/>
        <v>0</v>
      </c>
      <c r="L196" s="278">
        <f t="shared" si="25"/>
        <v>0</v>
      </c>
      <c r="M196" s="277">
        <f t="shared" si="25"/>
        <v>0</v>
      </c>
      <c r="N196" s="277">
        <f t="shared" si="25"/>
        <v>0</v>
      </c>
      <c r="O196" s="277">
        <f t="shared" si="25"/>
        <v>0</v>
      </c>
      <c r="P196" s="277">
        <f t="shared" si="25"/>
        <v>23332.2</v>
      </c>
      <c r="Q196" s="278">
        <f t="shared" si="25"/>
        <v>8653.2</v>
      </c>
      <c r="R196" s="278">
        <f t="shared" si="25"/>
        <v>13200</v>
      </c>
      <c r="S196" s="278">
        <f t="shared" si="25"/>
        <v>859.2</v>
      </c>
      <c r="T196" s="278">
        <f t="shared" si="25"/>
        <v>2880</v>
      </c>
      <c r="U196" s="277">
        <f t="shared" si="25"/>
        <v>0</v>
      </c>
      <c r="V196" s="277">
        <f t="shared" si="25"/>
        <v>0</v>
      </c>
      <c r="W196" s="277">
        <f t="shared" si="25"/>
        <v>0</v>
      </c>
      <c r="X196" s="277">
        <f t="shared" si="25"/>
        <v>0</v>
      </c>
      <c r="Y196" s="278">
        <f t="shared" si="25"/>
        <v>0</v>
      </c>
      <c r="Z196" s="278">
        <f t="shared" si="25"/>
        <v>0</v>
      </c>
      <c r="AA196" s="278">
        <f t="shared" si="25"/>
        <v>0</v>
      </c>
      <c r="AB196" s="278">
        <f t="shared" si="25"/>
        <v>0</v>
      </c>
      <c r="AC196" s="277">
        <f t="shared" si="25"/>
        <v>0</v>
      </c>
      <c r="AD196" s="277">
        <f t="shared" si="25"/>
        <v>0</v>
      </c>
      <c r="AE196" s="277">
        <f t="shared" si="25"/>
        <v>0</v>
      </c>
      <c r="AF196" s="277">
        <f t="shared" si="25"/>
        <v>0</v>
      </c>
      <c r="AG196" s="278">
        <f t="shared" si="25"/>
        <v>0</v>
      </c>
    </row>
    <row r="197" spans="1:33" s="134" customFormat="1" ht="12.75">
      <c r="A197" s="271" t="s">
        <v>83</v>
      </c>
      <c r="E197" s="248">
        <f t="shared" si="24"/>
        <v>76882.79999999999</v>
      </c>
      <c r="F197" s="248">
        <v>60</v>
      </c>
      <c r="G197" s="277">
        <f t="shared" si="25"/>
        <v>0</v>
      </c>
      <c r="H197" s="277">
        <f t="shared" si="25"/>
        <v>0</v>
      </c>
      <c r="I197" s="278">
        <f t="shared" si="25"/>
        <v>0</v>
      </c>
      <c r="J197" s="278">
        <f t="shared" si="25"/>
        <v>0</v>
      </c>
      <c r="K197" s="278">
        <f t="shared" si="25"/>
        <v>0</v>
      </c>
      <c r="L197" s="278">
        <f t="shared" si="25"/>
        <v>0</v>
      </c>
      <c r="M197" s="277">
        <f t="shared" si="25"/>
        <v>0</v>
      </c>
      <c r="N197" s="277">
        <f t="shared" si="25"/>
        <v>0</v>
      </c>
      <c r="O197" s="277">
        <f t="shared" si="25"/>
        <v>0</v>
      </c>
      <c r="P197" s="277">
        <f t="shared" si="25"/>
        <v>5836.8</v>
      </c>
      <c r="Q197" s="278">
        <f t="shared" si="25"/>
        <v>7006.8</v>
      </c>
      <c r="R197" s="278">
        <f t="shared" si="25"/>
        <v>5391</v>
      </c>
      <c r="S197" s="278">
        <f t="shared" si="25"/>
        <v>10510.199999999999</v>
      </c>
      <c r="T197" s="278">
        <f t="shared" si="25"/>
        <v>10582.8</v>
      </c>
      <c r="U197" s="277">
        <f t="shared" si="25"/>
        <v>595.2</v>
      </c>
      <c r="V197" s="277">
        <f t="shared" si="25"/>
        <v>14400</v>
      </c>
      <c r="W197" s="277">
        <f t="shared" si="25"/>
        <v>14880</v>
      </c>
      <c r="X197" s="277">
        <f t="shared" si="25"/>
        <v>6240</v>
      </c>
      <c r="Y197" s="278">
        <f t="shared" si="25"/>
        <v>1440</v>
      </c>
      <c r="Z197" s="278">
        <f t="shared" si="25"/>
        <v>0</v>
      </c>
      <c r="AA197" s="278">
        <f t="shared" si="25"/>
        <v>0</v>
      </c>
      <c r="AB197" s="278">
        <f t="shared" si="25"/>
        <v>0</v>
      </c>
      <c r="AC197" s="277">
        <f t="shared" si="25"/>
        <v>0</v>
      </c>
      <c r="AD197" s="277">
        <f t="shared" si="25"/>
        <v>0</v>
      </c>
      <c r="AE197" s="277">
        <f t="shared" si="25"/>
        <v>0</v>
      </c>
      <c r="AF197" s="277">
        <f t="shared" si="25"/>
        <v>0</v>
      </c>
      <c r="AG197" s="278">
        <f t="shared" si="25"/>
        <v>0</v>
      </c>
    </row>
    <row r="198" spans="1:33" s="134" customFormat="1" ht="12.75">
      <c r="A198" s="271" t="s">
        <v>85</v>
      </c>
      <c r="E198" s="248">
        <f t="shared" si="24"/>
        <v>380763</v>
      </c>
      <c r="F198" s="248">
        <v>60</v>
      </c>
      <c r="G198" s="277">
        <f t="shared" si="25"/>
        <v>0</v>
      </c>
      <c r="H198" s="277">
        <f t="shared" si="25"/>
        <v>0</v>
      </c>
      <c r="I198" s="278">
        <f t="shared" si="25"/>
        <v>0</v>
      </c>
      <c r="J198" s="278">
        <f t="shared" si="25"/>
        <v>0</v>
      </c>
      <c r="K198" s="278">
        <f t="shared" si="25"/>
        <v>0</v>
      </c>
      <c r="L198" s="278">
        <f t="shared" si="25"/>
        <v>0</v>
      </c>
      <c r="M198" s="277">
        <f t="shared" si="25"/>
        <v>0</v>
      </c>
      <c r="N198" s="277">
        <f t="shared" si="25"/>
        <v>0</v>
      </c>
      <c r="O198" s="277">
        <f t="shared" si="25"/>
        <v>0</v>
      </c>
      <c r="P198" s="277">
        <f t="shared" si="25"/>
        <v>60685.2</v>
      </c>
      <c r="Q198" s="278">
        <f t="shared" si="25"/>
        <v>37726.799999999996</v>
      </c>
      <c r="R198" s="278">
        <f t="shared" si="25"/>
        <v>32182.8</v>
      </c>
      <c r="S198" s="278">
        <f t="shared" si="25"/>
        <v>45334.200000000004</v>
      </c>
      <c r="T198" s="278">
        <f t="shared" si="25"/>
        <v>52167</v>
      </c>
      <c r="U198" s="277">
        <f t="shared" si="25"/>
        <v>31795.199999999997</v>
      </c>
      <c r="V198" s="277">
        <f t="shared" si="25"/>
        <v>31200</v>
      </c>
      <c r="W198" s="277">
        <f t="shared" si="25"/>
        <v>67591.8</v>
      </c>
      <c r="X198" s="277">
        <f t="shared" si="25"/>
        <v>20640</v>
      </c>
      <c r="Y198" s="278">
        <f t="shared" si="25"/>
        <v>1440</v>
      </c>
      <c r="Z198" s="278">
        <f t="shared" si="25"/>
        <v>0</v>
      </c>
      <c r="AA198" s="278">
        <f t="shared" si="25"/>
        <v>0</v>
      </c>
      <c r="AB198" s="278">
        <f t="shared" si="25"/>
        <v>0</v>
      </c>
      <c r="AC198" s="277">
        <f t="shared" si="25"/>
        <v>0</v>
      </c>
      <c r="AD198" s="277">
        <f t="shared" si="25"/>
        <v>0</v>
      </c>
      <c r="AE198" s="277">
        <f t="shared" si="25"/>
        <v>0</v>
      </c>
      <c r="AF198" s="277">
        <f t="shared" si="25"/>
        <v>0</v>
      </c>
      <c r="AG198" s="278">
        <f t="shared" si="25"/>
        <v>0</v>
      </c>
    </row>
    <row r="199" spans="1:33" s="134" customFormat="1" ht="12.75">
      <c r="A199" s="271" t="s">
        <v>89</v>
      </c>
      <c r="E199" s="248">
        <f t="shared" si="24"/>
        <v>116260.9</v>
      </c>
      <c r="F199" s="248">
        <v>35</v>
      </c>
      <c r="G199" s="277">
        <f t="shared" si="25"/>
        <v>0</v>
      </c>
      <c r="H199" s="277">
        <f t="shared" si="25"/>
        <v>0</v>
      </c>
      <c r="I199" s="278">
        <f t="shared" si="25"/>
        <v>0</v>
      </c>
      <c r="J199" s="278">
        <f t="shared" si="25"/>
        <v>0</v>
      </c>
      <c r="K199" s="278">
        <f t="shared" si="25"/>
        <v>0</v>
      </c>
      <c r="L199" s="278">
        <f t="shared" si="25"/>
        <v>0</v>
      </c>
      <c r="M199" s="277">
        <f t="shared" si="25"/>
        <v>0</v>
      </c>
      <c r="N199" s="277">
        <f t="shared" si="25"/>
        <v>0</v>
      </c>
      <c r="O199" s="277">
        <f t="shared" si="25"/>
        <v>0</v>
      </c>
      <c r="P199" s="277">
        <f t="shared" si="25"/>
        <v>16632</v>
      </c>
      <c r="Q199" s="278">
        <f t="shared" si="25"/>
        <v>32931.5</v>
      </c>
      <c r="R199" s="278">
        <f t="shared" si="25"/>
        <v>28989.45</v>
      </c>
      <c r="S199" s="278">
        <f aca="true" t="shared" si="26" ref="H199:AG203">$F199*S128</f>
        <v>16707.95</v>
      </c>
      <c r="T199" s="278">
        <f t="shared" si="26"/>
        <v>9800</v>
      </c>
      <c r="U199" s="277">
        <f t="shared" si="26"/>
        <v>5600</v>
      </c>
      <c r="V199" s="277">
        <f t="shared" si="26"/>
        <v>2800</v>
      </c>
      <c r="W199" s="277">
        <f t="shared" si="26"/>
        <v>1731.45</v>
      </c>
      <c r="X199" s="277">
        <f t="shared" si="26"/>
        <v>1068.55</v>
      </c>
      <c r="Y199" s="278">
        <f t="shared" si="26"/>
        <v>0</v>
      </c>
      <c r="Z199" s="278">
        <f t="shared" si="26"/>
        <v>0</v>
      </c>
      <c r="AA199" s="278">
        <f t="shared" si="26"/>
        <v>0</v>
      </c>
      <c r="AB199" s="278">
        <f t="shared" si="26"/>
        <v>0</v>
      </c>
      <c r="AC199" s="277">
        <f t="shared" si="26"/>
        <v>0</v>
      </c>
      <c r="AD199" s="277">
        <f t="shared" si="26"/>
        <v>0</v>
      </c>
      <c r="AE199" s="277">
        <f t="shared" si="26"/>
        <v>0</v>
      </c>
      <c r="AF199" s="277">
        <f t="shared" si="26"/>
        <v>0</v>
      </c>
      <c r="AG199" s="278">
        <f t="shared" si="26"/>
        <v>0</v>
      </c>
    </row>
    <row r="200" spans="1:33" s="134" customFormat="1" ht="12.75">
      <c r="A200" s="271" t="s">
        <v>90</v>
      </c>
      <c r="E200" s="248">
        <f t="shared" si="24"/>
        <v>8970.09</v>
      </c>
      <c r="F200" s="248">
        <v>57</v>
      </c>
      <c r="G200" s="277">
        <f>$F200*G129</f>
        <v>0</v>
      </c>
      <c r="H200" s="277">
        <f t="shared" si="26"/>
        <v>0</v>
      </c>
      <c r="I200" s="278">
        <f t="shared" si="26"/>
        <v>0</v>
      </c>
      <c r="J200" s="278">
        <f t="shared" si="26"/>
        <v>0</v>
      </c>
      <c r="K200" s="278">
        <f t="shared" si="26"/>
        <v>0</v>
      </c>
      <c r="L200" s="278">
        <f t="shared" si="26"/>
        <v>0</v>
      </c>
      <c r="M200" s="277">
        <f t="shared" si="26"/>
        <v>0</v>
      </c>
      <c r="N200" s="277">
        <f t="shared" si="26"/>
        <v>0</v>
      </c>
      <c r="O200" s="277">
        <f t="shared" si="26"/>
        <v>0</v>
      </c>
      <c r="P200" s="277">
        <f t="shared" si="26"/>
        <v>1896.96</v>
      </c>
      <c r="Q200" s="278">
        <f t="shared" si="26"/>
        <v>956.46</v>
      </c>
      <c r="R200" s="278">
        <f t="shared" si="26"/>
        <v>933.66</v>
      </c>
      <c r="S200" s="278">
        <f t="shared" si="26"/>
        <v>947.91</v>
      </c>
      <c r="T200" s="278">
        <f t="shared" si="26"/>
        <v>933.66</v>
      </c>
      <c r="U200" s="277">
        <f t="shared" si="26"/>
        <v>565.4399999999999</v>
      </c>
      <c r="V200" s="277">
        <f t="shared" si="26"/>
        <v>0</v>
      </c>
      <c r="W200" s="277">
        <f t="shared" si="26"/>
        <v>456</v>
      </c>
      <c r="X200" s="277">
        <f t="shared" si="26"/>
        <v>1368</v>
      </c>
      <c r="Y200" s="278">
        <f t="shared" si="26"/>
        <v>912</v>
      </c>
      <c r="Z200" s="278">
        <f t="shared" si="26"/>
        <v>0</v>
      </c>
      <c r="AA200" s="278">
        <f t="shared" si="26"/>
        <v>0</v>
      </c>
      <c r="AB200" s="278">
        <f t="shared" si="26"/>
        <v>0</v>
      </c>
      <c r="AC200" s="277">
        <f t="shared" si="26"/>
        <v>0</v>
      </c>
      <c r="AD200" s="277">
        <f t="shared" si="26"/>
        <v>0</v>
      </c>
      <c r="AE200" s="277">
        <f t="shared" si="26"/>
        <v>0</v>
      </c>
      <c r="AF200" s="277">
        <f t="shared" si="26"/>
        <v>0</v>
      </c>
      <c r="AG200" s="278">
        <f t="shared" si="26"/>
        <v>0</v>
      </c>
    </row>
    <row r="201" spans="1:33" s="134" customFormat="1" ht="12.75">
      <c r="A201" s="271" t="s">
        <v>91</v>
      </c>
      <c r="E201" s="248">
        <f t="shared" si="24"/>
        <v>8058.089999999999</v>
      </c>
      <c r="F201" s="248">
        <v>57</v>
      </c>
      <c r="G201" s="277">
        <f>$F201*G130</f>
        <v>0</v>
      </c>
      <c r="H201" s="277">
        <f t="shared" si="26"/>
        <v>0</v>
      </c>
      <c r="I201" s="278">
        <f t="shared" si="26"/>
        <v>0</v>
      </c>
      <c r="J201" s="278">
        <f t="shared" si="26"/>
        <v>0</v>
      </c>
      <c r="K201" s="278">
        <f t="shared" si="26"/>
        <v>0</v>
      </c>
      <c r="L201" s="278">
        <f t="shared" si="26"/>
        <v>0</v>
      </c>
      <c r="M201" s="277">
        <f t="shared" si="26"/>
        <v>0</v>
      </c>
      <c r="N201" s="277">
        <f t="shared" si="26"/>
        <v>0</v>
      </c>
      <c r="O201" s="277">
        <f t="shared" si="26"/>
        <v>0</v>
      </c>
      <c r="P201" s="277">
        <f t="shared" si="26"/>
        <v>1896.96</v>
      </c>
      <c r="Q201" s="278">
        <f t="shared" si="26"/>
        <v>956.46</v>
      </c>
      <c r="R201" s="278">
        <f t="shared" si="26"/>
        <v>933.66</v>
      </c>
      <c r="S201" s="278">
        <f t="shared" si="26"/>
        <v>947.91</v>
      </c>
      <c r="T201" s="278">
        <f t="shared" si="26"/>
        <v>933.66</v>
      </c>
      <c r="U201" s="277">
        <f t="shared" si="26"/>
        <v>565.4399999999999</v>
      </c>
      <c r="V201" s="277">
        <f t="shared" si="26"/>
        <v>0</v>
      </c>
      <c r="W201" s="277">
        <f t="shared" si="26"/>
        <v>456</v>
      </c>
      <c r="X201" s="277">
        <f t="shared" si="26"/>
        <v>456</v>
      </c>
      <c r="Y201" s="278">
        <f t="shared" si="26"/>
        <v>912</v>
      </c>
      <c r="Z201" s="278">
        <f t="shared" si="26"/>
        <v>0</v>
      </c>
      <c r="AA201" s="278">
        <f t="shared" si="26"/>
        <v>0</v>
      </c>
      <c r="AB201" s="278">
        <f t="shared" si="26"/>
        <v>0</v>
      </c>
      <c r="AC201" s="277">
        <f t="shared" si="26"/>
        <v>0</v>
      </c>
      <c r="AD201" s="277">
        <f t="shared" si="26"/>
        <v>0</v>
      </c>
      <c r="AE201" s="277">
        <f t="shared" si="26"/>
        <v>0</v>
      </c>
      <c r="AF201" s="277">
        <f t="shared" si="26"/>
        <v>0</v>
      </c>
      <c r="AG201" s="278">
        <f t="shared" si="26"/>
        <v>0</v>
      </c>
    </row>
    <row r="202" spans="1:33" s="134" customFormat="1" ht="12.75">
      <c r="A202" s="271" t="s">
        <v>92</v>
      </c>
      <c r="E202" s="248">
        <f t="shared" si="24"/>
        <v>8058.089999999999</v>
      </c>
      <c r="F202" s="248">
        <v>57</v>
      </c>
      <c r="G202" s="277">
        <f>$F202*G131</f>
        <v>0</v>
      </c>
      <c r="H202" s="277">
        <f t="shared" si="26"/>
        <v>0</v>
      </c>
      <c r="I202" s="278">
        <f t="shared" si="26"/>
        <v>0</v>
      </c>
      <c r="J202" s="278">
        <f t="shared" si="26"/>
        <v>0</v>
      </c>
      <c r="K202" s="278">
        <f t="shared" si="26"/>
        <v>0</v>
      </c>
      <c r="L202" s="278">
        <f t="shared" si="26"/>
        <v>0</v>
      </c>
      <c r="M202" s="277">
        <f t="shared" si="26"/>
        <v>0</v>
      </c>
      <c r="N202" s="277">
        <f t="shared" si="26"/>
        <v>0</v>
      </c>
      <c r="O202" s="277">
        <f t="shared" si="26"/>
        <v>0</v>
      </c>
      <c r="P202" s="277">
        <f t="shared" si="26"/>
        <v>1896.96</v>
      </c>
      <c r="Q202" s="278">
        <f t="shared" si="26"/>
        <v>956.46</v>
      </c>
      <c r="R202" s="278">
        <f t="shared" si="26"/>
        <v>933.66</v>
      </c>
      <c r="S202" s="278">
        <f t="shared" si="26"/>
        <v>947.91</v>
      </c>
      <c r="T202" s="278">
        <f t="shared" si="26"/>
        <v>933.66</v>
      </c>
      <c r="U202" s="277">
        <f t="shared" si="26"/>
        <v>565.4399999999999</v>
      </c>
      <c r="V202" s="277">
        <f t="shared" si="26"/>
        <v>0</v>
      </c>
      <c r="W202" s="277">
        <f t="shared" si="26"/>
        <v>456</v>
      </c>
      <c r="X202" s="277">
        <f t="shared" si="26"/>
        <v>456</v>
      </c>
      <c r="Y202" s="278">
        <f t="shared" si="26"/>
        <v>912</v>
      </c>
      <c r="Z202" s="278">
        <f t="shared" si="26"/>
        <v>0</v>
      </c>
      <c r="AA202" s="278">
        <f t="shared" si="26"/>
        <v>0</v>
      </c>
      <c r="AB202" s="278">
        <f t="shared" si="26"/>
        <v>0</v>
      </c>
      <c r="AC202" s="277">
        <f t="shared" si="26"/>
        <v>0</v>
      </c>
      <c r="AD202" s="277">
        <f t="shared" si="26"/>
        <v>0</v>
      </c>
      <c r="AE202" s="277">
        <f t="shared" si="26"/>
        <v>0</v>
      </c>
      <c r="AF202" s="277">
        <f t="shared" si="26"/>
        <v>0</v>
      </c>
      <c r="AG202" s="278">
        <f t="shared" si="26"/>
        <v>0</v>
      </c>
    </row>
    <row r="203" spans="1:33" s="134" customFormat="1" ht="12.75">
      <c r="A203" s="271" t="s">
        <v>93</v>
      </c>
      <c r="E203" s="248">
        <f t="shared" si="24"/>
        <v>8058.089999999999</v>
      </c>
      <c r="F203" s="248">
        <v>57</v>
      </c>
      <c r="G203" s="277">
        <f>$F203*G132</f>
        <v>0</v>
      </c>
      <c r="H203" s="277">
        <f t="shared" si="26"/>
        <v>0</v>
      </c>
      <c r="I203" s="278">
        <f t="shared" si="26"/>
        <v>0</v>
      </c>
      <c r="J203" s="278">
        <f t="shared" si="26"/>
        <v>0</v>
      </c>
      <c r="K203" s="278">
        <f t="shared" si="26"/>
        <v>0</v>
      </c>
      <c r="L203" s="278">
        <f t="shared" si="26"/>
        <v>0</v>
      </c>
      <c r="M203" s="277">
        <f t="shared" si="26"/>
        <v>0</v>
      </c>
      <c r="N203" s="277">
        <f t="shared" si="26"/>
        <v>0</v>
      </c>
      <c r="O203" s="277">
        <f t="shared" si="26"/>
        <v>0</v>
      </c>
      <c r="P203" s="277">
        <f t="shared" si="26"/>
        <v>1896.96</v>
      </c>
      <c r="Q203" s="278">
        <f t="shared" si="26"/>
        <v>956.46</v>
      </c>
      <c r="R203" s="278">
        <f t="shared" si="26"/>
        <v>933.66</v>
      </c>
      <c r="S203" s="278">
        <f t="shared" si="26"/>
        <v>947.91</v>
      </c>
      <c r="T203" s="278">
        <f t="shared" si="26"/>
        <v>933.66</v>
      </c>
      <c r="U203" s="277">
        <f t="shared" si="26"/>
        <v>565.4399999999999</v>
      </c>
      <c r="V203" s="277">
        <f t="shared" si="26"/>
        <v>0</v>
      </c>
      <c r="W203" s="277">
        <f t="shared" si="26"/>
        <v>456</v>
      </c>
      <c r="X203" s="277">
        <f t="shared" si="26"/>
        <v>456</v>
      </c>
      <c r="Y203" s="278">
        <f t="shared" si="26"/>
        <v>912</v>
      </c>
      <c r="Z203" s="278">
        <f t="shared" si="26"/>
        <v>0</v>
      </c>
      <c r="AA203" s="278">
        <f t="shared" si="26"/>
        <v>0</v>
      </c>
      <c r="AB203" s="278">
        <f t="shared" si="26"/>
        <v>0</v>
      </c>
      <c r="AC203" s="277">
        <f t="shared" si="26"/>
        <v>0</v>
      </c>
      <c r="AD203" s="277">
        <f t="shared" si="26"/>
        <v>0</v>
      </c>
      <c r="AE203" s="277">
        <f t="shared" si="26"/>
        <v>0</v>
      </c>
      <c r="AF203" s="277">
        <f t="shared" si="26"/>
        <v>0</v>
      </c>
      <c r="AG203" s="278">
        <f t="shared" si="26"/>
        <v>0</v>
      </c>
    </row>
    <row r="204" spans="1:33" s="134" customFormat="1" ht="12.75">
      <c r="A204" s="254" t="s">
        <v>839</v>
      </c>
      <c r="E204" s="248">
        <f>SUM(E141:E203)</f>
        <v>2342419.459999999</v>
      </c>
      <c r="F204" s="248"/>
      <c r="G204" s="277">
        <f aca="true" t="shared" si="27" ref="G204:Z204">SUM(G141:G203)</f>
        <v>76348.19249999999</v>
      </c>
      <c r="H204" s="277">
        <f t="shared" si="27"/>
        <v>98157.2025</v>
      </c>
      <c r="I204" s="278">
        <f t="shared" si="27"/>
        <v>169383.10749999993</v>
      </c>
      <c r="J204" s="278">
        <f t="shared" si="27"/>
        <v>244714.06749999995</v>
      </c>
      <c r="K204" s="278">
        <f t="shared" si="27"/>
        <v>118342.635</v>
      </c>
      <c r="L204" s="278">
        <f t="shared" si="27"/>
        <v>116668.33499999999</v>
      </c>
      <c r="M204" s="277">
        <f t="shared" si="27"/>
        <v>163382.73499999996</v>
      </c>
      <c r="N204" s="277">
        <f t="shared" si="27"/>
        <v>138718.40499999994</v>
      </c>
      <c r="O204" s="277">
        <f t="shared" si="27"/>
        <v>235630.4</v>
      </c>
      <c r="P204" s="277">
        <f t="shared" si="27"/>
        <v>158950.05</v>
      </c>
      <c r="Q204" s="278">
        <f t="shared" si="27"/>
        <v>122771.95000000001</v>
      </c>
      <c r="R204" s="278">
        <f t="shared" si="27"/>
        <v>131483.19</v>
      </c>
      <c r="S204" s="278">
        <f t="shared" si="27"/>
        <v>102904.25000000001</v>
      </c>
      <c r="T204" s="278">
        <f t="shared" si="27"/>
        <v>113855.74000000002</v>
      </c>
      <c r="U204" s="277">
        <f t="shared" si="27"/>
        <v>73990</v>
      </c>
      <c r="V204" s="277">
        <f t="shared" si="27"/>
        <v>89448.54000000001</v>
      </c>
      <c r="W204" s="277">
        <f t="shared" si="27"/>
        <v>128834.11</v>
      </c>
      <c r="X204" s="277">
        <f t="shared" si="27"/>
        <v>48828.55</v>
      </c>
      <c r="Y204" s="278">
        <f t="shared" si="27"/>
        <v>10008</v>
      </c>
      <c r="Z204" s="278">
        <f t="shared" si="27"/>
        <v>0</v>
      </c>
      <c r="AA204" s="278"/>
      <c r="AB204" s="278"/>
      <c r="AC204" s="277"/>
      <c r="AD204" s="277"/>
      <c r="AE204" s="277"/>
      <c r="AF204" s="277"/>
      <c r="AG204" s="278"/>
    </row>
    <row r="205" spans="5:33" s="134" customFormat="1" ht="12.75">
      <c r="E205" s="279"/>
      <c r="F205" s="279"/>
      <c r="G205" s="280" t="s">
        <v>692</v>
      </c>
      <c r="H205" s="280"/>
      <c r="I205" s="281" t="s">
        <v>693</v>
      </c>
      <c r="J205" s="281"/>
      <c r="K205" s="281"/>
      <c r="L205" s="281"/>
      <c r="M205" s="280" t="s">
        <v>694</v>
      </c>
      <c r="N205" s="280"/>
      <c r="O205" s="280"/>
      <c r="P205" s="280"/>
      <c r="Q205" s="281" t="s">
        <v>695</v>
      </c>
      <c r="R205" s="281"/>
      <c r="S205" s="281"/>
      <c r="T205" s="281"/>
      <c r="U205" s="280" t="s">
        <v>696</v>
      </c>
      <c r="V205" s="280"/>
      <c r="W205" s="280"/>
      <c r="X205" s="280"/>
      <c r="Y205" s="281" t="s">
        <v>705</v>
      </c>
      <c r="Z205" s="281"/>
      <c r="AA205" s="281"/>
      <c r="AB205" s="281"/>
      <c r="AC205" s="280" t="s">
        <v>706</v>
      </c>
      <c r="AD205" s="280"/>
      <c r="AE205" s="280"/>
      <c r="AF205" s="280"/>
      <c r="AG205" s="281"/>
    </row>
    <row r="206" spans="1:33" s="134" customFormat="1" ht="12.75">
      <c r="A206" s="272"/>
      <c r="E206" s="279"/>
      <c r="F206" s="279"/>
      <c r="G206" s="280"/>
      <c r="H206" s="280">
        <f>SUM(G204:H204)</f>
        <v>174505.395</v>
      </c>
      <c r="I206" s="281"/>
      <c r="J206" s="281"/>
      <c r="K206" s="281"/>
      <c r="L206" s="281">
        <f>SUM(I204:L204)</f>
        <v>649108.1449999998</v>
      </c>
      <c r="M206" s="280"/>
      <c r="N206" s="280"/>
      <c r="O206" s="280"/>
      <c r="P206" s="280">
        <f>SUM(M204:P204)</f>
        <v>696681.5899999999</v>
      </c>
      <c r="Q206" s="281"/>
      <c r="R206" s="281"/>
      <c r="S206" s="281"/>
      <c r="T206" s="281">
        <f>SUM(Q204:T204)</f>
        <v>471015.13</v>
      </c>
      <c r="U206" s="280"/>
      <c r="V206" s="280"/>
      <c r="W206" s="280"/>
      <c r="X206" s="280">
        <f>SUM(U204:X204)</f>
        <v>341101.2</v>
      </c>
      <c r="Y206" s="281"/>
      <c r="Z206" s="281"/>
      <c r="AA206" s="281"/>
      <c r="AB206" s="281">
        <f>SUM(Y204:AB204)</f>
        <v>10008</v>
      </c>
      <c r="AC206" s="280"/>
      <c r="AD206" s="280"/>
      <c r="AE206" s="280"/>
      <c r="AF206" s="280"/>
      <c r="AG206" s="279"/>
    </row>
    <row r="207" spans="17:20" ht="12.75">
      <c r="Q207" s="17"/>
      <c r="R207" s="17"/>
      <c r="S207" s="17"/>
      <c r="T207" s="17"/>
    </row>
    <row r="208" spans="17:20" ht="12.75">
      <c r="Q208" s="17"/>
      <c r="R208" s="17"/>
      <c r="S208" s="17"/>
      <c r="T208" s="17"/>
    </row>
    <row r="209" spans="17:20" ht="12.75">
      <c r="Q209" s="17"/>
      <c r="R209" s="17"/>
      <c r="S209" s="17"/>
      <c r="T209" s="17"/>
    </row>
    <row r="210" spans="17:20" ht="12.75">
      <c r="Q210" s="17"/>
      <c r="R210" s="17"/>
      <c r="S210" s="17"/>
      <c r="T210" s="17"/>
    </row>
    <row r="211" spans="17:20" ht="12.75">
      <c r="Q211" s="17"/>
      <c r="R211" s="17"/>
      <c r="S211" s="17"/>
      <c r="T211" s="17"/>
    </row>
    <row r="212" spans="17:20" ht="12.75">
      <c r="Q212" s="17"/>
      <c r="R212" s="17"/>
      <c r="S212" s="17"/>
      <c r="T212" s="17"/>
    </row>
    <row r="213" spans="17:20" ht="12.75">
      <c r="Q213" s="17"/>
      <c r="R213" s="17"/>
      <c r="S213" s="17"/>
      <c r="T213" s="17"/>
    </row>
    <row r="214" spans="17:20" ht="12.75">
      <c r="Q214" s="17"/>
      <c r="R214" s="17"/>
      <c r="S214" s="17"/>
      <c r="T214" s="17"/>
    </row>
    <row r="215" spans="17:20" ht="12.75">
      <c r="Q215" s="17"/>
      <c r="R215" s="17"/>
      <c r="S215" s="17"/>
      <c r="T215" s="17"/>
    </row>
    <row r="216" spans="17:20" ht="12.75">
      <c r="Q216" s="17"/>
      <c r="R216" s="17"/>
      <c r="S216" s="17"/>
      <c r="T216" s="17"/>
    </row>
    <row r="217" spans="17:20" ht="12.75">
      <c r="Q217" s="17"/>
      <c r="R217" s="17"/>
      <c r="S217" s="17"/>
      <c r="T217" s="17"/>
    </row>
    <row r="218" spans="17:20" ht="12.75">
      <c r="Q218" s="17"/>
      <c r="R218" s="17"/>
      <c r="S218" s="17"/>
      <c r="T218" s="17"/>
    </row>
    <row r="219" spans="17:20" ht="12.75">
      <c r="Q219" s="17"/>
      <c r="R219" s="17"/>
      <c r="S219" s="17"/>
      <c r="T219" s="17"/>
    </row>
    <row r="220" spans="17:20" ht="12.75">
      <c r="Q220" s="17"/>
      <c r="R220" s="17"/>
      <c r="S220" s="17"/>
      <c r="T220" s="17"/>
    </row>
    <row r="221" spans="17:20" ht="12.75">
      <c r="Q221" s="17"/>
      <c r="R221" s="17"/>
      <c r="S221" s="17"/>
      <c r="T221" s="17"/>
    </row>
    <row r="222" spans="17:20" ht="12.75">
      <c r="Q222" s="17"/>
      <c r="R222" s="17"/>
      <c r="S222" s="17"/>
      <c r="T222" s="17"/>
    </row>
    <row r="223" spans="17:20" ht="12.75">
      <c r="Q223" s="17"/>
      <c r="R223" s="17"/>
      <c r="S223" s="17"/>
      <c r="T223" s="17"/>
    </row>
    <row r="224" spans="17:20" ht="12.75">
      <c r="Q224" s="17"/>
      <c r="R224" s="17"/>
      <c r="S224" s="17"/>
      <c r="T224" s="17"/>
    </row>
    <row r="225" spans="17:20" ht="12.75">
      <c r="Q225" s="17"/>
      <c r="R225" s="17"/>
      <c r="S225" s="17"/>
      <c r="T225" s="17"/>
    </row>
    <row r="226" spans="17:20" ht="12.75">
      <c r="Q226" s="17"/>
      <c r="R226" s="17"/>
      <c r="S226" s="17"/>
      <c r="T226" s="17"/>
    </row>
    <row r="227" spans="17:20" ht="12.75">
      <c r="Q227" s="17"/>
      <c r="R227" s="17"/>
      <c r="S227" s="17"/>
      <c r="T227" s="17"/>
    </row>
    <row r="228" spans="17:20" ht="12.75">
      <c r="Q228" s="17"/>
      <c r="R228" s="17"/>
      <c r="S228" s="17"/>
      <c r="T228" s="17"/>
    </row>
    <row r="229" spans="17:20" ht="12.75">
      <c r="Q229" s="17"/>
      <c r="R229" s="17"/>
      <c r="S229" s="17"/>
      <c r="T229" s="17"/>
    </row>
    <row r="230" spans="17:20" ht="12.75">
      <c r="Q230" s="17"/>
      <c r="R230" s="17"/>
      <c r="S230" s="17"/>
      <c r="T230" s="17"/>
    </row>
    <row r="231" spans="17:20" ht="12.75">
      <c r="Q231" s="17"/>
      <c r="R231" s="17"/>
      <c r="S231" s="17"/>
      <c r="T231" s="17"/>
    </row>
    <row r="232" spans="17:20" ht="12.75">
      <c r="Q232" s="17"/>
      <c r="R232" s="17"/>
      <c r="S232" s="17"/>
      <c r="T232" s="17"/>
    </row>
    <row r="233" spans="17:20" ht="12.75">
      <c r="Q233" s="17"/>
      <c r="R233" s="17"/>
      <c r="S233" s="17"/>
      <c r="T233" s="17"/>
    </row>
    <row r="234" spans="17:20" ht="12.75">
      <c r="Q234" s="17"/>
      <c r="R234" s="17"/>
      <c r="S234" s="17"/>
      <c r="T234" s="17"/>
    </row>
    <row r="235" spans="17:20" ht="12.75">
      <c r="Q235" s="17"/>
      <c r="R235" s="17"/>
      <c r="S235" s="17"/>
      <c r="T235" s="17"/>
    </row>
    <row r="236" spans="17:20" ht="12.75">
      <c r="Q236" s="17"/>
      <c r="R236" s="17"/>
      <c r="S236" s="17"/>
      <c r="T236" s="17"/>
    </row>
    <row r="237" spans="17:20" ht="12.75">
      <c r="Q237" s="17"/>
      <c r="R237" s="17"/>
      <c r="S237" s="17"/>
      <c r="T237" s="17"/>
    </row>
    <row r="238" spans="17:20" ht="12.75">
      <c r="Q238" s="17"/>
      <c r="R238" s="17"/>
      <c r="S238" s="17"/>
      <c r="T238" s="17"/>
    </row>
    <row r="239" spans="17:20" ht="12.75">
      <c r="Q239" s="17"/>
      <c r="R239" s="17"/>
      <c r="S239" s="17"/>
      <c r="T239" s="17"/>
    </row>
    <row r="240" spans="17:20" ht="12.75">
      <c r="Q240" s="17"/>
      <c r="R240" s="17"/>
      <c r="S240" s="17"/>
      <c r="T240" s="17"/>
    </row>
    <row r="241" spans="17:20" ht="12.75">
      <c r="Q241" s="17"/>
      <c r="R241" s="17"/>
      <c r="S241" s="17"/>
      <c r="T241" s="17"/>
    </row>
    <row r="242" spans="17:20" ht="12.75">
      <c r="Q242" s="17"/>
      <c r="R242" s="17"/>
      <c r="S242" s="17"/>
      <c r="T242" s="17"/>
    </row>
    <row r="243" spans="17:20" ht="12.75">
      <c r="Q243" s="17"/>
      <c r="R243" s="17"/>
      <c r="S243" s="17"/>
      <c r="T243" s="17"/>
    </row>
    <row r="244" spans="17:20" ht="12.75">
      <c r="Q244" s="17"/>
      <c r="R244" s="17"/>
      <c r="S244" s="17"/>
      <c r="T244" s="17"/>
    </row>
    <row r="245" spans="17:20" ht="12.75">
      <c r="Q245" s="17"/>
      <c r="R245" s="17"/>
      <c r="S245" s="17"/>
      <c r="T245" s="17"/>
    </row>
    <row r="246" spans="17:20" ht="12.75">
      <c r="Q246" s="17"/>
      <c r="R246" s="17"/>
      <c r="S246" s="17"/>
      <c r="T246" s="17"/>
    </row>
    <row r="247" spans="17:20" ht="12.75">
      <c r="Q247" s="17"/>
      <c r="R247" s="17"/>
      <c r="S247" s="17"/>
      <c r="T247" s="17"/>
    </row>
    <row r="248" spans="17:20" ht="12.75">
      <c r="Q248" s="17"/>
      <c r="R248" s="17"/>
      <c r="S248" s="17"/>
      <c r="T248" s="17"/>
    </row>
    <row r="249" spans="17:20" ht="12.75">
      <c r="Q249" s="17"/>
      <c r="R249" s="17"/>
      <c r="S249" s="17"/>
      <c r="T249" s="17"/>
    </row>
    <row r="250" spans="17:20" ht="12.75">
      <c r="Q250" s="17"/>
      <c r="R250" s="17"/>
      <c r="S250" s="17"/>
      <c r="T250" s="17"/>
    </row>
    <row r="251" spans="17:20" ht="12.75">
      <c r="Q251" s="17"/>
      <c r="R251" s="17"/>
      <c r="S251" s="17"/>
      <c r="T251" s="17"/>
    </row>
    <row r="252" spans="17:20" ht="12.75">
      <c r="Q252" s="17"/>
      <c r="R252" s="17"/>
      <c r="S252" s="17"/>
      <c r="T252" s="17"/>
    </row>
    <row r="253" spans="17:20" ht="12.75">
      <c r="Q253" s="17"/>
      <c r="R253" s="17"/>
      <c r="S253" s="17"/>
      <c r="T253" s="17"/>
    </row>
    <row r="254" spans="17:20" ht="12.75">
      <c r="Q254" s="17"/>
      <c r="R254" s="17"/>
      <c r="S254" s="17"/>
      <c r="T254" s="17"/>
    </row>
    <row r="255" spans="17:20" ht="12.75">
      <c r="Q255" s="17"/>
      <c r="R255" s="17"/>
      <c r="S255" s="17"/>
      <c r="T255" s="17"/>
    </row>
    <row r="256" spans="17:20" ht="12.75">
      <c r="Q256" s="17"/>
      <c r="R256" s="17"/>
      <c r="S256" s="17"/>
      <c r="T256" s="17"/>
    </row>
    <row r="257" spans="17:20" ht="12.75">
      <c r="Q257" s="17"/>
      <c r="R257" s="17"/>
      <c r="S257" s="17"/>
      <c r="T257" s="17"/>
    </row>
    <row r="258" spans="17:20" ht="12.75">
      <c r="Q258" s="17"/>
      <c r="R258" s="17"/>
      <c r="S258" s="17"/>
      <c r="T258" s="17"/>
    </row>
    <row r="259" spans="17:20" ht="12.75">
      <c r="Q259" s="17"/>
      <c r="R259" s="17"/>
      <c r="S259" s="17"/>
      <c r="T259" s="17"/>
    </row>
    <row r="260" spans="17:20" ht="12.75">
      <c r="Q260" s="17"/>
      <c r="R260" s="17"/>
      <c r="S260" s="17"/>
      <c r="T260" s="17"/>
    </row>
    <row r="261" spans="17:20" ht="12.75">
      <c r="Q261" s="17"/>
      <c r="R261" s="17"/>
      <c r="S261" s="17"/>
      <c r="T261" s="17"/>
    </row>
    <row r="262" spans="17:20" ht="12.75">
      <c r="Q262" s="17"/>
      <c r="R262" s="17"/>
      <c r="S262" s="17"/>
      <c r="T262" s="17"/>
    </row>
    <row r="263" spans="17:20" ht="12.75">
      <c r="Q263" s="17"/>
      <c r="R263" s="17"/>
      <c r="S263" s="17"/>
      <c r="T263" s="17"/>
    </row>
    <row r="264" spans="17:20" ht="12.75">
      <c r="Q264" s="17"/>
      <c r="R264" s="17"/>
      <c r="S264" s="17"/>
      <c r="T264" s="17"/>
    </row>
    <row r="265" spans="17:20" ht="12.75">
      <c r="Q265" s="17"/>
      <c r="R265" s="17"/>
      <c r="S265" s="17"/>
      <c r="T265" s="17"/>
    </row>
    <row r="266" spans="17:20" ht="12.75">
      <c r="Q266" s="17"/>
      <c r="R266" s="17"/>
      <c r="S266" s="17"/>
      <c r="T266" s="17"/>
    </row>
    <row r="267" spans="17:20" ht="12.75">
      <c r="Q267" s="17"/>
      <c r="R267" s="17"/>
      <c r="S267" s="17"/>
      <c r="T267" s="17"/>
    </row>
    <row r="268" spans="17:20" ht="12.75">
      <c r="Q268" s="17"/>
      <c r="R268" s="17"/>
      <c r="S268" s="17"/>
      <c r="T268" s="17"/>
    </row>
    <row r="269" spans="17:20" ht="12.75">
      <c r="Q269" s="17"/>
      <c r="R269" s="17"/>
      <c r="S269" s="17"/>
      <c r="T269" s="17"/>
    </row>
    <row r="270" spans="17:20" ht="12.75">
      <c r="Q270" s="17"/>
      <c r="R270" s="17"/>
      <c r="S270" s="17"/>
      <c r="T270" s="17"/>
    </row>
    <row r="271" spans="17:20" ht="12.75">
      <c r="Q271" s="17"/>
      <c r="R271" s="17"/>
      <c r="S271" s="17"/>
      <c r="T271" s="17"/>
    </row>
    <row r="272" spans="17:20" ht="12.75">
      <c r="Q272" s="17"/>
      <c r="R272" s="17"/>
      <c r="S272" s="17"/>
      <c r="T272" s="17"/>
    </row>
    <row r="273" spans="17:20" ht="12.75">
      <c r="Q273" s="17"/>
      <c r="R273" s="17"/>
      <c r="S273" s="17"/>
      <c r="T273" s="17"/>
    </row>
    <row r="274" spans="17:20" ht="12.75">
      <c r="Q274" s="17"/>
      <c r="R274" s="17"/>
      <c r="S274" s="17"/>
      <c r="T274" s="17"/>
    </row>
    <row r="275" spans="17:20" ht="12.75">
      <c r="Q275" s="17"/>
      <c r="R275" s="17"/>
      <c r="S275" s="17"/>
      <c r="T275" s="17"/>
    </row>
    <row r="276" spans="17:20" ht="12.75">
      <c r="Q276" s="17"/>
      <c r="R276" s="17"/>
      <c r="S276" s="17"/>
      <c r="T276" s="17"/>
    </row>
    <row r="277" spans="17:20" ht="12.75">
      <c r="Q277" s="17"/>
      <c r="R277" s="17"/>
      <c r="S277" s="17"/>
      <c r="T277" s="17"/>
    </row>
    <row r="278" spans="17:20" ht="12.75">
      <c r="Q278" s="17"/>
      <c r="R278" s="17"/>
      <c r="S278" s="17"/>
      <c r="T278" s="17"/>
    </row>
    <row r="279" spans="17:20" ht="12.75">
      <c r="Q279" s="17"/>
      <c r="R279" s="17"/>
      <c r="S279" s="17"/>
      <c r="T279" s="17"/>
    </row>
    <row r="280" spans="17:20" ht="12.75">
      <c r="Q280" s="17"/>
      <c r="R280" s="17"/>
      <c r="S280" s="17"/>
      <c r="T280" s="17"/>
    </row>
    <row r="281" spans="17:20" ht="12.75">
      <c r="Q281" s="17"/>
      <c r="R281" s="17"/>
      <c r="S281" s="17"/>
      <c r="T281" s="17"/>
    </row>
    <row r="282" spans="17:20" ht="12.75">
      <c r="Q282" s="17"/>
      <c r="R282" s="17"/>
      <c r="S282" s="17"/>
      <c r="T282" s="17"/>
    </row>
    <row r="283" spans="17:20" ht="12.75">
      <c r="Q283" s="17"/>
      <c r="R283" s="17"/>
      <c r="S283" s="17"/>
      <c r="T283" s="17"/>
    </row>
    <row r="284" spans="17:20" ht="12.75">
      <c r="Q284" s="17"/>
      <c r="R284" s="17"/>
      <c r="S284" s="17"/>
      <c r="T284" s="17"/>
    </row>
    <row r="285" spans="17:20" ht="12.75">
      <c r="Q285" s="17"/>
      <c r="R285" s="17"/>
      <c r="S285" s="17"/>
      <c r="T285" s="17"/>
    </row>
    <row r="286" spans="17:20" ht="12.75">
      <c r="Q286" s="17"/>
      <c r="R286" s="17"/>
      <c r="S286" s="17"/>
      <c r="T286" s="17"/>
    </row>
    <row r="287" spans="17:20" ht="12.75">
      <c r="Q287" s="17"/>
      <c r="R287" s="17"/>
      <c r="S287" s="17"/>
      <c r="T287" s="17"/>
    </row>
    <row r="288" spans="17:20" ht="12.75">
      <c r="Q288" s="17"/>
      <c r="R288" s="17"/>
      <c r="S288" s="17"/>
      <c r="T288" s="17"/>
    </row>
    <row r="289" spans="17:20" ht="12.75">
      <c r="Q289" s="17"/>
      <c r="R289" s="17"/>
      <c r="S289" s="17"/>
      <c r="T289" s="17"/>
    </row>
    <row r="290" spans="17:20" ht="12.75">
      <c r="Q290" s="17"/>
      <c r="R290" s="17"/>
      <c r="S290" s="17"/>
      <c r="T290" s="17"/>
    </row>
    <row r="291" spans="17:20" ht="12.75">
      <c r="Q291" s="17"/>
      <c r="R291" s="17"/>
      <c r="S291" s="17"/>
      <c r="T291" s="17"/>
    </row>
    <row r="292" spans="17:20" ht="12.75">
      <c r="Q292" s="17"/>
      <c r="R292" s="17"/>
      <c r="S292" s="17"/>
      <c r="T292" s="17"/>
    </row>
    <row r="293" spans="17:20" ht="12.75">
      <c r="Q293" s="17"/>
      <c r="R293" s="17"/>
      <c r="S293" s="17"/>
      <c r="T293" s="17"/>
    </row>
    <row r="294" spans="17:20" ht="12.75">
      <c r="Q294" s="17"/>
      <c r="R294" s="17"/>
      <c r="S294" s="17"/>
      <c r="T294" s="17"/>
    </row>
    <row r="295" spans="17:20" ht="12.75">
      <c r="Q295" s="17"/>
      <c r="R295" s="17"/>
      <c r="S295" s="17"/>
      <c r="T295" s="17"/>
    </row>
    <row r="296" spans="17:20" ht="12.75">
      <c r="Q296" s="17"/>
      <c r="R296" s="17"/>
      <c r="S296" s="17"/>
      <c r="T296" s="17"/>
    </row>
    <row r="297" spans="17:20" ht="12.75">
      <c r="Q297" s="17"/>
      <c r="R297" s="17"/>
      <c r="S297" s="17"/>
      <c r="T297" s="17"/>
    </row>
    <row r="298" spans="17:20" ht="12.75">
      <c r="Q298" s="17"/>
      <c r="R298" s="17"/>
      <c r="S298" s="17"/>
      <c r="T298" s="17"/>
    </row>
  </sheetData>
  <mergeCells count="5">
    <mergeCell ref="B1:C1"/>
    <mergeCell ref="E1:F1"/>
    <mergeCell ref="G1:M1"/>
    <mergeCell ref="B22:C22"/>
    <mergeCell ref="E22:M2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69"/>
  <sheetViews>
    <sheetView workbookViewId="0" topLeftCell="A1">
      <selection activeCell="N38" sqref="N38"/>
    </sheetView>
  </sheetViews>
  <sheetFormatPr defaultColWidth="9.140625" defaultRowHeight="12.75"/>
  <cols>
    <col min="1" max="1" width="23.8515625" style="0" customWidth="1"/>
    <col min="2" max="3" width="9.7109375" style="0" hidden="1" customWidth="1"/>
    <col min="4" max="4" width="7.8515625" style="0" hidden="1" customWidth="1"/>
    <col min="5" max="11" width="6.7109375" style="0" customWidth="1"/>
    <col min="12" max="12" width="7.28125" style="0" customWidth="1"/>
    <col min="13" max="13" width="6.7109375" style="0" customWidth="1"/>
  </cols>
  <sheetData>
    <row r="1" spans="1:14" ht="12.75">
      <c r="A1" s="118"/>
      <c r="B1" s="118"/>
      <c r="C1" s="118"/>
      <c r="D1" s="118"/>
      <c r="E1" s="289" t="s">
        <v>715</v>
      </c>
      <c r="F1" s="289"/>
      <c r="G1" s="289" t="s">
        <v>716</v>
      </c>
      <c r="H1" s="289"/>
      <c r="I1" s="289"/>
      <c r="J1" s="289"/>
      <c r="K1" s="289"/>
      <c r="L1" s="289"/>
      <c r="M1" s="289"/>
      <c r="N1" s="118"/>
    </row>
    <row r="2" spans="1:15" ht="12.75">
      <c r="A2" s="122" t="s">
        <v>708</v>
      </c>
      <c r="B2" s="122" t="s">
        <v>702</v>
      </c>
      <c r="C2" s="122" t="s">
        <v>703</v>
      </c>
      <c r="D2" s="122" t="s">
        <v>704</v>
      </c>
      <c r="E2" s="122" t="s">
        <v>690</v>
      </c>
      <c r="F2" s="122" t="s">
        <v>691</v>
      </c>
      <c r="G2" s="122" t="s">
        <v>692</v>
      </c>
      <c r="H2" s="122" t="s">
        <v>693</v>
      </c>
      <c r="I2" s="122" t="s">
        <v>694</v>
      </c>
      <c r="J2" s="122" t="s">
        <v>695</v>
      </c>
      <c r="K2" s="122" t="s">
        <v>696</v>
      </c>
      <c r="L2" s="122" t="s">
        <v>705</v>
      </c>
      <c r="M2" s="122" t="s">
        <v>706</v>
      </c>
      <c r="N2" s="122" t="s">
        <v>839</v>
      </c>
      <c r="O2" s="236"/>
    </row>
    <row r="3" spans="1:14" ht="12.75">
      <c r="A3" s="118" t="s">
        <v>689</v>
      </c>
      <c r="B3" s="231">
        <v>39356</v>
      </c>
      <c r="C3" s="231">
        <v>39568</v>
      </c>
      <c r="D3" s="217">
        <v>19</v>
      </c>
      <c r="E3" s="217">
        <f>'Cost Est (then-yr)'!B3</f>
        <v>738.85</v>
      </c>
      <c r="F3" s="217">
        <f>'Cost Est (then-yr)'!C3</f>
        <v>494.98</v>
      </c>
      <c r="G3" s="217"/>
      <c r="H3" s="217"/>
      <c r="I3" s="217"/>
      <c r="J3" s="217"/>
      <c r="K3" s="217"/>
      <c r="L3" s="217"/>
      <c r="M3" s="217"/>
      <c r="N3" s="217">
        <f>SUM(E3:M3)</f>
        <v>1233.83</v>
      </c>
    </row>
    <row r="4" spans="1:14" ht="12.75">
      <c r="A4" s="118" t="s">
        <v>697</v>
      </c>
      <c r="B4" s="231">
        <v>39569</v>
      </c>
      <c r="C4" s="231">
        <v>40298</v>
      </c>
      <c r="D4" s="217">
        <v>24</v>
      </c>
      <c r="E4" s="217"/>
      <c r="F4" s="217">
        <f>'Cost Est (then-yr)'!C4</f>
        <v>214.171</v>
      </c>
      <c r="G4" s="217">
        <v>1240</v>
      </c>
      <c r="H4" s="217">
        <f>(SUM('B2C Cost Est (FY08)'!Q108:S108)-F4-G4/E18)*E18*E17</f>
        <v>1491.9462511374516</v>
      </c>
      <c r="I4" s="217"/>
      <c r="J4" s="217"/>
      <c r="K4" s="217"/>
      <c r="L4" s="217"/>
      <c r="M4" s="217"/>
      <c r="N4" s="217">
        <f>SUM(E4:M4)</f>
        <v>2946.1172511374516</v>
      </c>
    </row>
    <row r="5" spans="1:14" ht="12.75">
      <c r="A5" s="118" t="s">
        <v>698</v>
      </c>
      <c r="B5" s="231">
        <v>40299</v>
      </c>
      <c r="C5" s="231">
        <v>41029</v>
      </c>
      <c r="D5" s="217">
        <v>24</v>
      </c>
      <c r="E5" s="217"/>
      <c r="F5" s="217"/>
      <c r="G5" s="217"/>
      <c r="H5" s="217">
        <f>'Cost Est (then-yr)'!E5</f>
        <v>1600</v>
      </c>
      <c r="I5" s="217">
        <f>'Cost Est (then-yr)'!F5</f>
        <v>5500</v>
      </c>
      <c r="J5" s="217">
        <f>(SUM('B2C Cost Est (FY08)'!AB108:AD108)-H5/(E18*E17)-I5/(E18*E17^H16))*E18*E17^I16</f>
        <v>977.6340326872797</v>
      </c>
      <c r="K5" s="217"/>
      <c r="L5" s="217"/>
      <c r="M5" s="217"/>
      <c r="N5" s="217">
        <f aca="true" t="shared" si="0" ref="N5:N11">SUM(E5:M5)</f>
        <v>8077.63403268728</v>
      </c>
    </row>
    <row r="6" spans="1:14" ht="12.75">
      <c r="A6" s="118" t="s">
        <v>699</v>
      </c>
      <c r="B6" s="231">
        <v>41030</v>
      </c>
      <c r="C6" s="231">
        <v>41759</v>
      </c>
      <c r="D6" s="217">
        <v>24</v>
      </c>
      <c r="E6" s="217"/>
      <c r="F6" s="217"/>
      <c r="G6" s="217"/>
      <c r="H6" s="217">
        <v>400</v>
      </c>
      <c r="I6" s="217">
        <v>500</v>
      </c>
      <c r="J6" s="217">
        <f>'Cost Est (then-yr)'!G6+1500/E17</f>
        <v>7415.433589092232</v>
      </c>
      <c r="K6" s="217">
        <f>'Cost Est (then-yr)'!H6-2400</f>
        <v>8714.952776478825</v>
      </c>
      <c r="L6" s="217">
        <f>(SUM('B2C Cost Est (FY08)'!AM108:AO108)-H6/(E18*E17^G16)-I6/(E18*E17^H16)-J6/(E18*E17^I16)-K6/(E18*E17^J16))*E18*E17^K16</f>
        <v>5262.276951926332</v>
      </c>
      <c r="M6" s="217"/>
      <c r="N6" s="217">
        <f t="shared" si="0"/>
        <v>22292.66331749739</v>
      </c>
    </row>
    <row r="7" spans="1:14" ht="12.75">
      <c r="A7" s="118" t="s">
        <v>700</v>
      </c>
      <c r="B7" s="231">
        <v>41760</v>
      </c>
      <c r="C7" s="231">
        <v>42063</v>
      </c>
      <c r="D7" s="217">
        <v>10</v>
      </c>
      <c r="E7" s="217"/>
      <c r="F7" s="217"/>
      <c r="G7" s="217"/>
      <c r="H7" s="217"/>
      <c r="I7" s="217"/>
      <c r="J7" s="217"/>
      <c r="K7" s="217"/>
      <c r="L7" s="217">
        <f>SUM('B2C Cost Est (FY08)'!AX108:AZ108)/2*E18*E17^K16</f>
        <v>1763.6947086403457</v>
      </c>
      <c r="M7" s="217">
        <f>SUM('B2C Cost Est (FY08)'!AX108:AZ108)/2*E18*E17^L16</f>
        <v>1825.4240234427577</v>
      </c>
      <c r="N7" s="217">
        <f t="shared" si="0"/>
        <v>3589.118732083103</v>
      </c>
    </row>
    <row r="8" spans="1:15" ht="12.75">
      <c r="A8" s="118" t="s">
        <v>615</v>
      </c>
      <c r="B8" s="231"/>
      <c r="C8" s="231"/>
      <c r="D8" s="217"/>
      <c r="E8" s="217"/>
      <c r="F8" s="217"/>
      <c r="G8" s="217"/>
      <c r="H8" s="217">
        <f>'B2C Cost Est (FY08)'!T108*E18*E17</f>
        <v>465.8855191160182</v>
      </c>
      <c r="I8" s="217"/>
      <c r="J8" s="217">
        <f>'B2C Cost Est (FY08)'!AE108*E18*E17^I16</f>
        <v>1741.2250477697235</v>
      </c>
      <c r="K8" s="217">
        <f>'B2C Cost Est (FY08)'!AP108/2*E18*E17^J16</f>
        <v>3013.9181376175125</v>
      </c>
      <c r="L8" s="217">
        <f>'B2C Cost Est (FY08)'!AP108/2*E18*E17^K16</f>
        <v>3119.405272434125</v>
      </c>
      <c r="M8" s="217">
        <f>'B2C Cost Est (FY08)'!BA108</f>
        <v>610.6164207538322</v>
      </c>
      <c r="N8" s="217">
        <f t="shared" si="0"/>
        <v>8951.050397691211</v>
      </c>
      <c r="O8" s="116">
        <f>N8/SUM(N4:N7)</f>
        <v>0.2425395215624516</v>
      </c>
    </row>
    <row r="9" spans="1:14" ht="12.75">
      <c r="A9" s="218" t="s">
        <v>712</v>
      </c>
      <c r="B9" s="231"/>
      <c r="C9" s="231"/>
      <c r="D9" s="217">
        <f>SUM(D3:D7)</f>
        <v>101</v>
      </c>
      <c r="E9" s="217">
        <f aca="true" t="shared" si="1" ref="E9:N9">SUM(E3:E8)</f>
        <v>738.85</v>
      </c>
      <c r="F9" s="217">
        <f t="shared" si="1"/>
        <v>709.1510000000001</v>
      </c>
      <c r="G9" s="217">
        <f t="shared" si="1"/>
        <v>1240</v>
      </c>
      <c r="H9" s="217">
        <f t="shared" si="1"/>
        <v>3957.8317702534696</v>
      </c>
      <c r="I9" s="217">
        <f t="shared" si="1"/>
        <v>6000</v>
      </c>
      <c r="J9" s="217">
        <f t="shared" si="1"/>
        <v>10134.292669549235</v>
      </c>
      <c r="K9" s="217">
        <f t="shared" si="1"/>
        <v>11728.870914096338</v>
      </c>
      <c r="L9" s="217">
        <f t="shared" si="1"/>
        <v>10145.376933000804</v>
      </c>
      <c r="M9" s="217">
        <f t="shared" si="1"/>
        <v>2436.04044419659</v>
      </c>
      <c r="N9" s="219">
        <f t="shared" si="1"/>
        <v>47090.41373109643</v>
      </c>
    </row>
    <row r="10" spans="1:14" ht="12.75">
      <c r="A10" s="220" t="s">
        <v>652</v>
      </c>
      <c r="B10" s="231"/>
      <c r="C10" s="231"/>
      <c r="D10" s="217"/>
      <c r="E10" s="217"/>
      <c r="F10" s="217"/>
      <c r="G10" s="217">
        <f>'B2C Instrument Est'!G10</f>
        <v>51.32023</v>
      </c>
      <c r="H10" s="217">
        <f>'B2C Instrument Est'!H10</f>
        <v>228.70423979999995</v>
      </c>
      <c r="I10" s="217">
        <f>'B2C Instrument Est'!I10</f>
        <v>77.73424554374999</v>
      </c>
      <c r="J10" s="217"/>
      <c r="K10" s="217"/>
      <c r="L10" s="217"/>
      <c r="M10" s="217"/>
      <c r="N10" s="217">
        <f t="shared" si="0"/>
        <v>357.75871534374994</v>
      </c>
    </row>
    <row r="11" spans="1:14" ht="12.75">
      <c r="A11" s="220" t="s">
        <v>653</v>
      </c>
      <c r="B11" s="231"/>
      <c r="C11" s="231"/>
      <c r="D11" s="217"/>
      <c r="E11" s="217"/>
      <c r="F11" s="217"/>
      <c r="G11" s="217">
        <f>'B2C Instrument Est'!G11</f>
        <v>123.18516499999998</v>
      </c>
      <c r="H11" s="217">
        <f>'B2C Instrument Est'!H11</f>
        <v>443.1226902750001</v>
      </c>
      <c r="I11" s="217">
        <f>'B2C Instrument Est'!I11</f>
        <v>4284.1799654040005</v>
      </c>
      <c r="J11" s="217">
        <f>'B2C Instrument Est'!J11</f>
        <v>4264.3807703409475</v>
      </c>
      <c r="K11" s="217">
        <f>'B2C Instrument Est'!K11</f>
        <v>486.0921200923506</v>
      </c>
      <c r="L11" s="217">
        <f>'B2C Instrument Est'!L11</f>
        <v>11.886364546913919</v>
      </c>
      <c r="M11" s="217"/>
      <c r="N11" s="217">
        <f t="shared" si="0"/>
        <v>9612.847075659214</v>
      </c>
    </row>
    <row r="12" spans="1:15" ht="12.75">
      <c r="A12" s="220" t="s">
        <v>655</v>
      </c>
      <c r="B12" s="118"/>
      <c r="C12" s="118"/>
      <c r="D12" s="118"/>
      <c r="E12" s="217"/>
      <c r="F12" s="217"/>
      <c r="G12" s="217">
        <f>'B2C Instrument Est'!G13</f>
        <v>17.4505395</v>
      </c>
      <c r="H12" s="217">
        <f>'B2C Instrument Est'!H13</f>
        <v>67.1826930075</v>
      </c>
      <c r="I12" s="217">
        <f>'B2C Instrument Est'!I13</f>
        <v>1308.574263284325</v>
      </c>
      <c r="J12" s="217">
        <f>'B2C Instrument Est'!J13</f>
        <v>1279.314231102284</v>
      </c>
      <c r="K12" s="217">
        <f>'B2C Instrument Est'!K13</f>
        <v>145.82763602770518</v>
      </c>
      <c r="L12" s="217">
        <f>'B2C Instrument Est'!L13</f>
        <v>3.5659093640741757</v>
      </c>
      <c r="M12" s="217"/>
      <c r="N12" s="217">
        <f>SUM(E12:M12)</f>
        <v>2821.9152722858885</v>
      </c>
      <c r="O12" s="116">
        <f>N12/SUM(N10:N11)</f>
        <v>0.28302345227932496</v>
      </c>
    </row>
    <row r="13" spans="1:14" ht="12.75">
      <c r="A13" s="218" t="s">
        <v>713</v>
      </c>
      <c r="B13" s="231"/>
      <c r="C13" s="231"/>
      <c r="D13" s="217"/>
      <c r="E13" s="217"/>
      <c r="F13" s="217"/>
      <c r="G13" s="217">
        <f aca="true" t="shared" si="2" ref="G13:N13">SUM(G10:G12)</f>
        <v>191.95593449999998</v>
      </c>
      <c r="H13" s="217">
        <f t="shared" si="2"/>
        <v>739.0096230825001</v>
      </c>
      <c r="I13" s="217">
        <f t="shared" si="2"/>
        <v>5670.4884742320755</v>
      </c>
      <c r="J13" s="217">
        <f t="shared" si="2"/>
        <v>5543.695001443231</v>
      </c>
      <c r="K13" s="217">
        <f t="shared" si="2"/>
        <v>631.9197561200558</v>
      </c>
      <c r="L13" s="217">
        <f t="shared" si="2"/>
        <v>15.452273910988094</v>
      </c>
      <c r="M13" s="217">
        <f t="shared" si="2"/>
        <v>0</v>
      </c>
      <c r="N13" s="219">
        <f t="shared" si="2"/>
        <v>12792.521063288854</v>
      </c>
    </row>
    <row r="14" spans="1:14" ht="12.75">
      <c r="A14" s="218" t="s">
        <v>714</v>
      </c>
      <c r="B14" s="231"/>
      <c r="C14" s="231"/>
      <c r="D14" s="217"/>
      <c r="E14" s="217">
        <f aca="true" t="shared" si="3" ref="E14:N14">E9+E13</f>
        <v>738.85</v>
      </c>
      <c r="F14" s="217">
        <f t="shared" si="3"/>
        <v>709.1510000000001</v>
      </c>
      <c r="G14" s="217">
        <f t="shared" si="3"/>
        <v>1431.9559345</v>
      </c>
      <c r="H14" s="217">
        <f t="shared" si="3"/>
        <v>4696.84139333597</v>
      </c>
      <c r="I14" s="217">
        <f t="shared" si="3"/>
        <v>11670.488474232076</v>
      </c>
      <c r="J14" s="217">
        <f t="shared" si="3"/>
        <v>15677.987670992467</v>
      </c>
      <c r="K14" s="217">
        <f t="shared" si="3"/>
        <v>12360.790670216395</v>
      </c>
      <c r="L14" s="217">
        <f t="shared" si="3"/>
        <v>10160.829206911792</v>
      </c>
      <c r="M14" s="217">
        <f t="shared" si="3"/>
        <v>2436.04044419659</v>
      </c>
      <c r="N14" s="219">
        <f t="shared" si="3"/>
        <v>59882.934794385284</v>
      </c>
    </row>
    <row r="15" spans="1:14" ht="12.75">
      <c r="A15" s="105"/>
      <c r="B15" s="104"/>
      <c r="C15" s="104"/>
      <c r="D15" s="20"/>
      <c r="E15" s="20"/>
      <c r="F15" s="20"/>
      <c r="G15" s="20"/>
      <c r="H15" s="20"/>
      <c r="I15" s="20"/>
      <c r="J15" s="20"/>
      <c r="K15" s="20"/>
      <c r="L15" s="20"/>
      <c r="M15" s="20"/>
      <c r="N15" s="106"/>
    </row>
    <row r="16" spans="1:13" ht="12.75">
      <c r="A16" t="s">
        <v>707</v>
      </c>
      <c r="G16">
        <v>1</v>
      </c>
      <c r="H16">
        <v>2</v>
      </c>
      <c r="I16">
        <v>3</v>
      </c>
      <c r="J16">
        <v>4</v>
      </c>
      <c r="K16">
        <v>5</v>
      </c>
      <c r="L16">
        <v>6</v>
      </c>
      <c r="M16">
        <v>7</v>
      </c>
    </row>
    <row r="17" spans="1:5" ht="12.75">
      <c r="A17" t="s">
        <v>628</v>
      </c>
      <c r="E17">
        <v>1.035</v>
      </c>
    </row>
    <row r="18" spans="1:5" ht="12.75">
      <c r="A18" s="235" t="s">
        <v>627</v>
      </c>
      <c r="E18" s="282">
        <v>1.02</v>
      </c>
    </row>
    <row r="21" spans="1:14" ht="12.75">
      <c r="A21" s="221" t="s">
        <v>404</v>
      </c>
      <c r="E21" s="289" t="s">
        <v>629</v>
      </c>
      <c r="F21" s="289"/>
      <c r="G21" s="289" t="s">
        <v>630</v>
      </c>
      <c r="H21" s="289"/>
      <c r="I21" s="289"/>
      <c r="J21" s="289"/>
      <c r="K21" s="289"/>
      <c r="L21" s="289"/>
      <c r="M21" s="289"/>
      <c r="N21" s="118"/>
    </row>
    <row r="22" spans="1:14" ht="12.75">
      <c r="A22" s="122" t="s">
        <v>708</v>
      </c>
      <c r="E22" s="122" t="s">
        <v>690</v>
      </c>
      <c r="F22" s="122" t="s">
        <v>691</v>
      </c>
      <c r="G22" s="122" t="s">
        <v>692</v>
      </c>
      <c r="H22" s="122" t="s">
        <v>693</v>
      </c>
      <c r="I22" s="122" t="s">
        <v>694</v>
      </c>
      <c r="J22" s="122" t="s">
        <v>695</v>
      </c>
      <c r="K22" s="122" t="s">
        <v>696</v>
      </c>
      <c r="L22" s="122" t="s">
        <v>705</v>
      </c>
      <c r="M22" s="122" t="s">
        <v>706</v>
      </c>
      <c r="N22" s="122" t="s">
        <v>839</v>
      </c>
    </row>
    <row r="23" spans="1:14" ht="12.75">
      <c r="A23" s="118" t="s">
        <v>697</v>
      </c>
      <c r="E23" s="217"/>
      <c r="F23" s="217">
        <v>2335</v>
      </c>
      <c r="G23" s="217">
        <v>15000</v>
      </c>
      <c r="H23" s="217">
        <f>'B2C Cost Est (FY08)'!N108-F23-G23</f>
        <v>15871.900006103519</v>
      </c>
      <c r="I23" s="217"/>
      <c r="J23" s="217"/>
      <c r="K23" s="217"/>
      <c r="L23" s="217"/>
      <c r="M23" s="217"/>
      <c r="N23" s="217">
        <f>SUM(E23:M23)</f>
        <v>33206.90000610352</v>
      </c>
    </row>
    <row r="24" spans="1:14" ht="12.75">
      <c r="A24" s="118" t="s">
        <v>698</v>
      </c>
      <c r="E24" s="217"/>
      <c r="F24" s="217"/>
      <c r="G24" s="217"/>
      <c r="H24" s="217">
        <v>12495</v>
      </c>
      <c r="I24" s="217">
        <v>40000</v>
      </c>
      <c r="J24" s="217">
        <f>'B2C Cost Est (FY08)'!Y108-H24-I24</f>
        <v>19529.499963378898</v>
      </c>
      <c r="K24" s="217"/>
      <c r="L24" s="217"/>
      <c r="M24" s="217"/>
      <c r="N24" s="217">
        <f>SUM(E24:M24)</f>
        <v>72024.4999633789</v>
      </c>
    </row>
    <row r="25" spans="1:14" ht="12.75">
      <c r="A25" s="118" t="s">
        <v>699</v>
      </c>
      <c r="E25" s="217"/>
      <c r="F25" s="217"/>
      <c r="G25" s="217"/>
      <c r="H25" s="217"/>
      <c r="I25" s="217"/>
      <c r="J25" s="217">
        <v>20000</v>
      </c>
      <c r="K25" s="217">
        <v>40000</v>
      </c>
      <c r="L25" s="217">
        <f>'B2C Cost Est (FY08)'!AJ108-J25-K25</f>
        <v>20335.600000000006</v>
      </c>
      <c r="M25" s="217"/>
      <c r="N25" s="217">
        <f>SUM(E25:M25)</f>
        <v>80335.6</v>
      </c>
    </row>
    <row r="26" spans="1:14" ht="12.75">
      <c r="A26" s="118" t="s">
        <v>700</v>
      </c>
      <c r="E26" s="217"/>
      <c r="F26" s="217"/>
      <c r="G26" s="217"/>
      <c r="H26" s="217"/>
      <c r="I26" s="217"/>
      <c r="J26" s="217"/>
      <c r="K26" s="217"/>
      <c r="L26" s="217">
        <f>'B2C Cost Est (FY08)'!AU108/2</f>
        <v>16306</v>
      </c>
      <c r="M26" s="217">
        <f>'B2C Cost Est (FY08)'!AU108/2</f>
        <v>16306</v>
      </c>
      <c r="N26" s="217">
        <f>SUM(E26:M26)</f>
        <v>32612</v>
      </c>
    </row>
    <row r="27" spans="1:14" ht="12.75">
      <c r="A27" s="218" t="s">
        <v>712</v>
      </c>
      <c r="E27" s="217"/>
      <c r="F27" s="217">
        <f aca="true" t="shared" si="4" ref="F27:N27">SUM(F22:F26)</f>
        <v>2335</v>
      </c>
      <c r="G27" s="217">
        <f t="shared" si="4"/>
        <v>15000</v>
      </c>
      <c r="H27" s="217">
        <f t="shared" si="4"/>
        <v>28366.90000610352</v>
      </c>
      <c r="I27" s="217">
        <f t="shared" si="4"/>
        <v>40000</v>
      </c>
      <c r="J27" s="217">
        <f t="shared" si="4"/>
        <v>39529.4999633789</v>
      </c>
      <c r="K27" s="217">
        <f t="shared" si="4"/>
        <v>40000</v>
      </c>
      <c r="L27" s="217">
        <f t="shared" si="4"/>
        <v>36641.600000000006</v>
      </c>
      <c r="M27" s="217">
        <f t="shared" si="4"/>
        <v>16306</v>
      </c>
      <c r="N27" s="219">
        <f t="shared" si="4"/>
        <v>218178.99996948242</v>
      </c>
    </row>
    <row r="29" spans="1:12" s="1" customFormat="1" ht="12.75">
      <c r="A29" s="289" t="s">
        <v>631</v>
      </c>
      <c r="B29" s="122"/>
      <c r="C29" s="122"/>
      <c r="D29" s="122"/>
      <c r="E29" s="315" t="s">
        <v>632</v>
      </c>
      <c r="F29" s="289" t="s">
        <v>639</v>
      </c>
      <c r="G29" s="289"/>
      <c r="H29" s="289"/>
      <c r="I29" s="289"/>
      <c r="J29" s="289"/>
      <c r="K29" s="289"/>
      <c r="L29" s="315" t="s">
        <v>636</v>
      </c>
    </row>
    <row r="30" spans="1:12" ht="24.75" customHeight="1">
      <c r="A30" s="289"/>
      <c r="B30" s="122"/>
      <c r="C30" s="122"/>
      <c r="D30" s="122"/>
      <c r="E30" s="315"/>
      <c r="F30" s="122" t="s">
        <v>843</v>
      </c>
      <c r="G30" s="125" t="s">
        <v>633</v>
      </c>
      <c r="H30" s="122" t="s">
        <v>848</v>
      </c>
      <c r="I30" s="125" t="s">
        <v>634</v>
      </c>
      <c r="J30" s="125" t="s">
        <v>635</v>
      </c>
      <c r="K30" s="122" t="s">
        <v>839</v>
      </c>
      <c r="L30" s="316"/>
    </row>
    <row r="31" spans="1:12" ht="12.75">
      <c r="A31" s="118" t="s">
        <v>697</v>
      </c>
      <c r="B31" s="118"/>
      <c r="C31" s="118"/>
      <c r="D31" s="118"/>
      <c r="E31" s="238">
        <f>'B2C Cost Est (FY08)'!O108</f>
        <v>18.448277781168628</v>
      </c>
      <c r="F31" s="238">
        <f>'B2C Cost Est (FY08)'!Q108</f>
        <v>2495.463745154453</v>
      </c>
      <c r="G31" s="238">
        <f>'B2C Cost Est (FY08)'!R108</f>
        <v>133.81475533333332</v>
      </c>
      <c r="H31" s="238">
        <f>'B2C Cost Est (FY08)'!S108</f>
        <v>213.8081489746094</v>
      </c>
      <c r="I31" s="238">
        <f>SUM(F31:H31)</f>
        <v>2843.086649462396</v>
      </c>
      <c r="J31" s="238">
        <f>'B2C Cost Est (FY08)'!T108</f>
        <v>441.30483955292055</v>
      </c>
      <c r="K31" s="238">
        <f>I31+J31</f>
        <v>3284.3914890153164</v>
      </c>
      <c r="L31" s="239">
        <f>K31/K$35</f>
        <v>0.08191895835201374</v>
      </c>
    </row>
    <row r="32" spans="1:12" ht="12.75">
      <c r="A32" s="118" t="s">
        <v>698</v>
      </c>
      <c r="B32" s="118"/>
      <c r="C32" s="118"/>
      <c r="D32" s="118"/>
      <c r="E32" s="238">
        <f>'B2C Cost Est (FY08)'!Z108</f>
        <v>40.01361109076607</v>
      </c>
      <c r="F32" s="238">
        <f>'B2C Cost Est (FY08)'!AB108</f>
        <v>5260.574355954251</v>
      </c>
      <c r="G32" s="238">
        <f>'B2C Cost Est (FY08)'!AC108</f>
        <v>1817.249</v>
      </c>
      <c r="H32" s="238">
        <f>'B2C Cost Est (FY08)'!AD108</f>
        <v>335.87513072916676</v>
      </c>
      <c r="I32" s="238">
        <f>SUM(F32:H32)</f>
        <v>7413.698486683417</v>
      </c>
      <c r="J32" s="238">
        <f>'B2C Cost Est (FY08)'!AE108</f>
        <v>1539.691402708192</v>
      </c>
      <c r="K32" s="238">
        <f>I32+J32</f>
        <v>8953.389889391608</v>
      </c>
      <c r="L32" s="239">
        <f>K32/K$35</f>
        <v>0.22331453966783546</v>
      </c>
    </row>
    <row r="33" spans="1:12" ht="12.75">
      <c r="A33" s="118" t="s">
        <v>699</v>
      </c>
      <c r="B33" s="118"/>
      <c r="C33" s="118"/>
      <c r="D33" s="118"/>
      <c r="E33" s="238">
        <f>'B2C Cost Est (FY08)'!AK108</f>
        <v>44.63088888888888</v>
      </c>
      <c r="F33" s="238">
        <f>'B2C Cost Est (FY08)'!AM108</f>
        <v>5226.721520911417</v>
      </c>
      <c r="G33" s="238">
        <f>'B2C Cost Est (FY08)'!AN108</f>
        <v>13360.487941912566</v>
      </c>
      <c r="H33" s="238">
        <f>'B2C Cost Est (FY08)'!AO108</f>
        <v>595.9266813964844</v>
      </c>
      <c r="I33" s="238">
        <f>SUM(F33:H33)</f>
        <v>19183.13614422047</v>
      </c>
      <c r="J33" s="238">
        <f>'B2C Cost Est (FY08)'!AP108</f>
        <v>5149.912815581446</v>
      </c>
      <c r="K33" s="238">
        <f>I33+J33</f>
        <v>24333.048959801916</v>
      </c>
      <c r="L33" s="239">
        <f>K33/K$35</f>
        <v>0.6069124314145452</v>
      </c>
    </row>
    <row r="34" spans="1:12" ht="12.75">
      <c r="A34" s="118" t="s">
        <v>700</v>
      </c>
      <c r="B34" s="118"/>
      <c r="C34" s="118"/>
      <c r="D34" s="118"/>
      <c r="E34" s="238">
        <f>'B2C Cost Est (FY08)'!AV108</f>
        <v>18.117777777777782</v>
      </c>
      <c r="F34" s="238">
        <f>'B2C Cost Est (FY08)'!AX108</f>
        <v>2183.5886623611113</v>
      </c>
      <c r="G34" s="238">
        <f>'B2C Cost Est (FY08)'!AY108</f>
        <v>250.38100000000003</v>
      </c>
      <c r="H34" s="238">
        <f>'B2C Cost Est (FY08)'!AZ108</f>
        <v>477.76292431640616</v>
      </c>
      <c r="I34" s="238">
        <f>SUM(F34:H34)</f>
        <v>2911.7325866775172</v>
      </c>
      <c r="J34" s="238">
        <f>'B2C Cost Est (FY08)'!BA108</f>
        <v>610.6164207538322</v>
      </c>
      <c r="K34" s="238">
        <f>I34+J34</f>
        <v>3522.3490074313495</v>
      </c>
      <c r="L34" s="239">
        <f>K34/K$35</f>
        <v>0.08785407056560547</v>
      </c>
    </row>
    <row r="35" spans="1:12" ht="12.75">
      <c r="A35" s="240" t="s">
        <v>837</v>
      </c>
      <c r="B35" s="118"/>
      <c r="C35" s="118"/>
      <c r="D35" s="118"/>
      <c r="E35" s="241">
        <f>SUM(E31:E34)</f>
        <v>121.21055553860137</v>
      </c>
      <c r="F35" s="238">
        <f aca="true" t="shared" si="5" ref="F35:K35">SUM(F31:F34)</f>
        <v>15166.348284381233</v>
      </c>
      <c r="G35" s="238">
        <f t="shared" si="5"/>
        <v>15561.932697245898</v>
      </c>
      <c r="H35" s="238">
        <f t="shared" si="5"/>
        <v>1623.3728854166666</v>
      </c>
      <c r="I35" s="241">
        <f t="shared" si="5"/>
        <v>32351.6538670438</v>
      </c>
      <c r="J35" s="238">
        <f t="shared" si="5"/>
        <v>7741.525478596391</v>
      </c>
      <c r="K35" s="241">
        <f t="shared" si="5"/>
        <v>40093.179345640194</v>
      </c>
      <c r="L35" s="239">
        <f>K35/K$35</f>
        <v>1</v>
      </c>
    </row>
    <row r="36" spans="1:12" ht="12.75">
      <c r="A36" s="240" t="s">
        <v>637</v>
      </c>
      <c r="B36" s="118"/>
      <c r="C36" s="118"/>
      <c r="D36" s="118"/>
      <c r="E36" s="118"/>
      <c r="F36" s="239">
        <f>F35/$I35</f>
        <v>0.4687966910968651</v>
      </c>
      <c r="G36" s="239">
        <f>G35/$I35</f>
        <v>0.48102433220882823</v>
      </c>
      <c r="H36" s="239">
        <f>H35/$I35</f>
        <v>0.050178976694306654</v>
      </c>
      <c r="I36" s="239">
        <f>I35/$I35</f>
        <v>1</v>
      </c>
      <c r="J36" s="239">
        <f>J35/$I35</f>
        <v>0.23929303615858044</v>
      </c>
      <c r="K36" s="118"/>
      <c r="L36" s="118"/>
    </row>
    <row r="38" spans="1:12" ht="12.75">
      <c r="A38" s="289" t="s">
        <v>631</v>
      </c>
      <c r="B38" s="122"/>
      <c r="C38" s="122"/>
      <c r="D38" s="122"/>
      <c r="E38" s="315" t="s">
        <v>632</v>
      </c>
      <c r="F38" s="289" t="s">
        <v>640</v>
      </c>
      <c r="G38" s="289"/>
      <c r="H38" s="289"/>
      <c r="I38" s="289"/>
      <c r="J38" s="289"/>
      <c r="K38" s="289"/>
      <c r="L38" s="315" t="s">
        <v>638</v>
      </c>
    </row>
    <row r="39" spans="1:12" ht="25.5" customHeight="1">
      <c r="A39" s="289"/>
      <c r="B39" s="122"/>
      <c r="C39" s="122"/>
      <c r="D39" s="122"/>
      <c r="E39" s="315"/>
      <c r="F39" s="122" t="s">
        <v>843</v>
      </c>
      <c r="G39" s="125" t="s">
        <v>633</v>
      </c>
      <c r="H39" s="122" t="s">
        <v>848</v>
      </c>
      <c r="I39" s="125" t="s">
        <v>634</v>
      </c>
      <c r="J39" s="125" t="s">
        <v>635</v>
      </c>
      <c r="K39" s="122" t="s">
        <v>839</v>
      </c>
      <c r="L39" s="316"/>
    </row>
    <row r="40" spans="1:12" ht="12.75">
      <c r="A40" s="118" t="s">
        <v>697</v>
      </c>
      <c r="B40" s="118"/>
      <c r="C40" s="118"/>
      <c r="D40" s="118"/>
      <c r="E40" s="238">
        <f>19-'B2C Cost Est (FY08)'!O108</f>
        <v>0.5517222188313724</v>
      </c>
      <c r="F40" s="238">
        <f>2581.6-'B2C Cost Est (FY08)'!Q108</f>
        <v>86.13625484554677</v>
      </c>
      <c r="G40" s="238">
        <f>216.2-'B2C Cost Est (FY08)'!R108</f>
        <v>82.38524466666667</v>
      </c>
      <c r="H40" s="238">
        <f>223.7-'B2C Cost Est (FY08)'!S108</f>
        <v>9.891851025390594</v>
      </c>
      <c r="I40" s="238">
        <f>SUM(F40:H40)</f>
        <v>178.41335053760403</v>
      </c>
      <c r="J40" s="238">
        <f>458-'B2C Cost Est (FY08)'!T108</f>
        <v>16.695160447079445</v>
      </c>
      <c r="K40" s="238">
        <f>I40+J40</f>
        <v>195.10851098468348</v>
      </c>
      <c r="L40" s="239">
        <f>K40/K$44</f>
        <v>0.09141480713600007</v>
      </c>
    </row>
    <row r="41" spans="1:12" ht="12.75">
      <c r="A41" s="118" t="s">
        <v>698</v>
      </c>
      <c r="B41" s="118"/>
      <c r="C41" s="118"/>
      <c r="D41" s="118"/>
      <c r="E41" s="238">
        <f>43.6-'B2C Cost Est (FY08)'!Z108</f>
        <v>3.586388909233932</v>
      </c>
      <c r="F41" s="238">
        <f>5516-'B2C Cost Est (FY08)'!AB108</f>
        <v>255.42564404574932</v>
      </c>
      <c r="G41" s="238">
        <f>1827-'B2C Cost Est (FY08)'!AC108</f>
        <v>9.750999999999976</v>
      </c>
      <c r="H41" s="238">
        <f>354-'B2C Cost Est (FY08)'!AD108</f>
        <v>18.124869270833244</v>
      </c>
      <c r="I41" s="238">
        <f>SUM(F41:H41)</f>
        <v>283.30151331658254</v>
      </c>
      <c r="J41" s="238">
        <f>1403-'B2C Cost Est (FY08)'!AE108</f>
        <v>-136.69140270819207</v>
      </c>
      <c r="K41" s="238">
        <f>I41+J41</f>
        <v>146.61011060839047</v>
      </c>
      <c r="L41" s="239">
        <f>K41/K$44</f>
        <v>0.06869169836730377</v>
      </c>
    </row>
    <row r="42" spans="1:12" ht="12.75">
      <c r="A42" s="118" t="s">
        <v>699</v>
      </c>
      <c r="B42" s="118"/>
      <c r="C42" s="118"/>
      <c r="D42" s="118"/>
      <c r="E42" s="238">
        <f>50.5-'B2C Cost Est (FY08)'!AK108</f>
        <v>5.869111111111117</v>
      </c>
      <c r="F42" s="238">
        <f>5661-'B2C Cost Est (FY08)'!AM108</f>
        <v>434.27847908858257</v>
      </c>
      <c r="G42" s="238">
        <f>14510-'B2C Cost Est (FY08)'!AN108</f>
        <v>1149.5120580874336</v>
      </c>
      <c r="H42" s="238">
        <f>626-'B2C Cost Est (FY08)'!AO108</f>
        <v>30.073318603515645</v>
      </c>
      <c r="I42" s="238">
        <f>SUM(F42:H42)</f>
        <v>1613.8638557795318</v>
      </c>
      <c r="J42" s="238">
        <f>5234-'B2C Cost Est (FY08)'!AP108</f>
        <v>84.08718441855399</v>
      </c>
      <c r="K42" s="238">
        <f>I42+J42</f>
        <v>1697.9510401980858</v>
      </c>
      <c r="L42" s="239">
        <f>K42/K$44</f>
        <v>0.795546365879773</v>
      </c>
    </row>
    <row r="43" spans="1:12" ht="12.75">
      <c r="A43" s="118" t="s">
        <v>700</v>
      </c>
      <c r="B43" s="118"/>
      <c r="C43" s="118"/>
      <c r="D43" s="118"/>
      <c r="E43" s="238">
        <f>22.4-'B2C Cost Est (FY08)'!AV108</f>
        <v>4.282222222222217</v>
      </c>
      <c r="F43" s="238">
        <f>2287-'B2C Cost Est (FY08)'!AX108</f>
        <v>103.41133763888865</v>
      </c>
      <c r="G43" s="238">
        <f>250-'B2C Cost Est (FY08)'!AY108</f>
        <v>-0.38100000000002865</v>
      </c>
      <c r="H43" s="238">
        <f>478-'B2C Cost Est (FY08)'!AZ108</f>
        <v>0.23707568359384368</v>
      </c>
      <c r="I43" s="238">
        <f>SUM(F43:H43)</f>
        <v>103.26741332248247</v>
      </c>
      <c r="J43" s="238">
        <f>602-'B2C Cost Est (FY08)'!BA108</f>
        <v>-8.616420753832244</v>
      </c>
      <c r="K43" s="238">
        <f>I43+J43</f>
        <v>94.65099256865022</v>
      </c>
      <c r="L43" s="239">
        <f>K43/K$44</f>
        <v>0.04434712861692322</v>
      </c>
    </row>
    <row r="44" spans="1:12" ht="12.75">
      <c r="A44" s="240" t="s">
        <v>837</v>
      </c>
      <c r="B44" s="118"/>
      <c r="C44" s="118"/>
      <c r="D44" s="118"/>
      <c r="E44" s="241">
        <f aca="true" t="shared" si="6" ref="E44:K44">SUM(E40:E43)</f>
        <v>14.289444461398638</v>
      </c>
      <c r="F44" s="238">
        <f t="shared" si="6"/>
        <v>879.2517156187673</v>
      </c>
      <c r="G44" s="238">
        <f t="shared" si="6"/>
        <v>1241.2673027541002</v>
      </c>
      <c r="H44" s="238">
        <f t="shared" si="6"/>
        <v>58.327114583333326</v>
      </c>
      <c r="I44" s="241">
        <f t="shared" si="6"/>
        <v>2178.8461329562006</v>
      </c>
      <c r="J44" s="238">
        <f t="shared" si="6"/>
        <v>-44.52547859639088</v>
      </c>
      <c r="K44" s="241">
        <f t="shared" si="6"/>
        <v>2134.32065435981</v>
      </c>
      <c r="L44" s="239">
        <f>K44/K$44</f>
        <v>1</v>
      </c>
    </row>
    <row r="45" spans="1:12" ht="12.75">
      <c r="A45" s="240" t="s">
        <v>637</v>
      </c>
      <c r="B45" s="118"/>
      <c r="C45" s="118"/>
      <c r="D45" s="118"/>
      <c r="E45" s="118"/>
      <c r="F45" s="239">
        <f>F44/$I44</f>
        <v>0.403540067524558</v>
      </c>
      <c r="G45" s="239">
        <f>G44/$I44</f>
        <v>0.5696902061964246</v>
      </c>
      <c r="H45" s="239">
        <f>H44/$I44</f>
        <v>0.026769726279017532</v>
      </c>
      <c r="I45" s="239">
        <f>I44/$I44</f>
        <v>1</v>
      </c>
      <c r="J45" s="239">
        <f>J44/$I44</f>
        <v>-0.020435347830633593</v>
      </c>
      <c r="K45" s="118"/>
      <c r="L45" s="118"/>
    </row>
    <row r="47" spans="1:13" ht="12.75">
      <c r="A47" s="315" t="s">
        <v>645</v>
      </c>
      <c r="B47" s="118"/>
      <c r="C47" s="118"/>
      <c r="D47" s="118"/>
      <c r="E47" s="289" t="s">
        <v>639</v>
      </c>
      <c r="F47" s="289"/>
      <c r="G47" s="289"/>
      <c r="H47" s="289"/>
      <c r="I47" s="289"/>
      <c r="J47" s="289"/>
      <c r="K47" s="289"/>
      <c r="L47" s="315" t="s">
        <v>636</v>
      </c>
      <c r="M47" s="315" t="s">
        <v>649</v>
      </c>
    </row>
    <row r="48" spans="1:13" s="237" customFormat="1" ht="25.5" customHeight="1">
      <c r="A48" s="299"/>
      <c r="B48" s="125"/>
      <c r="C48" s="125"/>
      <c r="D48" s="125"/>
      <c r="E48" s="125" t="s">
        <v>512</v>
      </c>
      <c r="F48" s="125" t="s">
        <v>513</v>
      </c>
      <c r="G48" s="125" t="s">
        <v>518</v>
      </c>
      <c r="H48" s="125" t="s">
        <v>646</v>
      </c>
      <c r="I48" s="125" t="s">
        <v>647</v>
      </c>
      <c r="J48" s="125" t="s">
        <v>635</v>
      </c>
      <c r="K48" s="125" t="s">
        <v>839</v>
      </c>
      <c r="L48" s="299"/>
      <c r="M48" s="315"/>
    </row>
    <row r="49" spans="1:13" ht="12.75">
      <c r="A49" s="118" t="s">
        <v>842</v>
      </c>
      <c r="B49" s="118"/>
      <c r="C49" s="118"/>
      <c r="D49" s="118"/>
      <c r="E49" s="238">
        <f>SUM('B2C Cost Est (FY08)'!Q$5:S$11)</f>
        <v>837.1786158289937</v>
      </c>
      <c r="F49" s="238">
        <f>SUM('B2C Cost Est (FY08)'!AB5:AD11)</f>
        <v>1201.6693382760286</v>
      </c>
      <c r="G49" s="238">
        <f>SUM('B2C Cost Est (FY08)'!AM5:AO11)</f>
        <v>1539.4717865842017</v>
      </c>
      <c r="H49" s="238">
        <f>SUM('B2C Cost Est (FY08)'!AX5:AZ11)</f>
        <v>656.7372539648437</v>
      </c>
      <c r="I49" s="238">
        <f>SUM(E49:H49)</f>
        <v>4235.056994654068</v>
      </c>
      <c r="J49" s="238">
        <f>SUM('B2C Cost Est (FY08)'!I5:I11)</f>
        <v>308.6479796186044</v>
      </c>
      <c r="K49" s="238">
        <f>I49+J49</f>
        <v>4543.704974272672</v>
      </c>
      <c r="L49" s="239">
        <f>K49/K$57</f>
        <v>0.113328627173758</v>
      </c>
      <c r="M49" s="239">
        <f>J49/I49</f>
        <v>0.07287929773039942</v>
      </c>
    </row>
    <row r="50" spans="1:13" ht="12.75">
      <c r="A50" s="118" t="s">
        <v>856</v>
      </c>
      <c r="B50" s="118"/>
      <c r="C50" s="118"/>
      <c r="D50" s="118"/>
      <c r="E50" s="238">
        <f>SUM('B2C Cost Est (FY08)'!Q$14:S$35)</f>
        <v>702.4901669965277</v>
      </c>
      <c r="F50" s="238">
        <f>SUM('B2C Cost Est (FY08)'!AB14:AD35)</f>
        <v>1003.8224894954426</v>
      </c>
      <c r="G50" s="238">
        <f>SUM('B2C Cost Est (FY08)'!AM14:AO35)</f>
        <v>477.58646236653635</v>
      </c>
      <c r="H50" s="238">
        <f>SUM('B2C Cost Est (FY08)'!AX14:AZ35)</f>
        <v>193.32547698350692</v>
      </c>
      <c r="I50" s="238">
        <f aca="true" t="shared" si="7" ref="I50:I56">SUM(E50:H50)</f>
        <v>2377.224595842014</v>
      </c>
      <c r="J50" s="238">
        <f>SUM('B2C Cost Est (FY08)'!I14:I35)</f>
        <v>395.27999924152317</v>
      </c>
      <c r="K50" s="238">
        <f aca="true" t="shared" si="8" ref="K50:K56">I50+J50</f>
        <v>2772.504595083537</v>
      </c>
      <c r="L50" s="239">
        <f aca="true" t="shared" si="9" ref="L50:L57">K50/K$57</f>
        <v>0.06915152752496852</v>
      </c>
      <c r="M50" s="239">
        <f aca="true" t="shared" si="10" ref="M50:M57">J50/I50</f>
        <v>0.16627793601534516</v>
      </c>
    </row>
    <row r="51" spans="1:13" ht="12.75">
      <c r="A51" s="118" t="s">
        <v>641</v>
      </c>
      <c r="B51" s="118"/>
      <c r="C51" s="118"/>
      <c r="D51" s="118"/>
      <c r="E51" s="238">
        <f>SUM('B2C Cost Est (FY08)'!Q37:S65)</f>
        <v>704.412089988654</v>
      </c>
      <c r="F51" s="238">
        <f>SUM('B2C Cost Est (FY08)'!AB37:AD65)</f>
        <v>2066.663546348145</v>
      </c>
      <c r="G51" s="238">
        <f>SUM('B2C Cost Est (FY08)'!AM37:AO65)</f>
        <v>8739.271079607804</v>
      </c>
      <c r="H51" s="238">
        <f>SUM('B2C Cost Est (FY08)'!AX37:AZ65)</f>
        <v>3.342222222222222</v>
      </c>
      <c r="I51" s="238">
        <f t="shared" si="7"/>
        <v>11513.688938166824</v>
      </c>
      <c r="J51" s="238">
        <f>SUM('B2C Cost Est (FY08)'!I37:I65)</f>
        <v>3436.5044625934297</v>
      </c>
      <c r="K51" s="238">
        <f t="shared" si="8"/>
        <v>14950.193400760254</v>
      </c>
      <c r="L51" s="239">
        <f t="shared" si="9"/>
        <v>0.37288620270983736</v>
      </c>
      <c r="M51" s="239">
        <f t="shared" si="10"/>
        <v>0.2984711920783036</v>
      </c>
    </row>
    <row r="52" spans="1:13" ht="12.75">
      <c r="A52" s="118" t="s">
        <v>642</v>
      </c>
      <c r="B52" s="118"/>
      <c r="C52" s="118"/>
      <c r="D52" s="118"/>
      <c r="E52" s="238">
        <f>SUM('B2C Cost Est (FY08)'!Q67:S72)</f>
        <v>285.31549598524305</v>
      </c>
      <c r="F52" s="238">
        <f>SUM('B2C Cost Est (FY08)'!AB67:AD72)</f>
        <v>1891.0434134375</v>
      </c>
      <c r="G52" s="238">
        <f>SUM('B2C Cost Est (FY08)'!AM67:AO72)</f>
        <v>6335.402072225295</v>
      </c>
      <c r="H52" s="238">
        <f>SUM('B2C Cost Est (FY08)'!AX67:AZ72)</f>
        <v>128.48686666666666</v>
      </c>
      <c r="I52" s="238">
        <f t="shared" si="7"/>
        <v>8640.247848314704</v>
      </c>
      <c r="J52" s="238">
        <f>SUM('B2C Cost Est (FY08)'!I67:I72)</f>
        <v>2490.63873529012</v>
      </c>
      <c r="K52" s="238">
        <f t="shared" si="8"/>
        <v>11130.886583604824</v>
      </c>
      <c r="L52" s="239">
        <f t="shared" si="9"/>
        <v>0.2776254406677583</v>
      </c>
      <c r="M52" s="239">
        <f t="shared" si="10"/>
        <v>0.2882601030682151</v>
      </c>
    </row>
    <row r="53" spans="1:13" ht="12.75">
      <c r="A53" s="118" t="s">
        <v>954</v>
      </c>
      <c r="B53" s="118"/>
      <c r="C53" s="118"/>
      <c r="D53" s="118"/>
      <c r="E53" s="238">
        <f>SUM('B2C Cost Est (FY08)'!Q75:S87)</f>
        <v>166.2819</v>
      </c>
      <c r="F53" s="238">
        <f>SUM('B2C Cost Est (FY08)'!AB75:AD87)</f>
        <v>746.3472073003469</v>
      </c>
      <c r="G53" s="238">
        <f>SUM('B2C Cost Est (FY08)'!AM75:AO87)</f>
        <v>639.603519659288</v>
      </c>
      <c r="H53" s="238">
        <f>SUM('B2C Cost Est (FY08)'!AX75:AZ87)</f>
        <v>0</v>
      </c>
      <c r="I53" s="238">
        <f t="shared" si="7"/>
        <v>1552.2326269596351</v>
      </c>
      <c r="J53" s="238">
        <f>SUM('B2C Cost Est (FY08)'!I75:I87)</f>
        <v>231.09873059955004</v>
      </c>
      <c r="K53" s="238">
        <f t="shared" si="8"/>
        <v>1783.331357559185</v>
      </c>
      <c r="L53" s="239">
        <f t="shared" si="9"/>
        <v>0.04447966927704145</v>
      </c>
      <c r="M53" s="239">
        <f t="shared" si="10"/>
        <v>0.14888150563630667</v>
      </c>
    </row>
    <row r="54" spans="1:13" ht="12.75">
      <c r="A54" s="118" t="s">
        <v>643</v>
      </c>
      <c r="B54" s="118"/>
      <c r="C54" s="118"/>
      <c r="D54" s="118"/>
      <c r="E54" s="238">
        <f>SUM('B2C Cost Est (FY08)'!Q89:S93)</f>
        <v>86.81060288519964</v>
      </c>
      <c r="F54" s="238">
        <f>SUM('B2C Cost Est (FY08)'!AB89:AD93)</f>
        <v>377.6626660555556</v>
      </c>
      <c r="G54" s="238">
        <f>SUM('B2C Cost Est (FY08)'!AM89:AO93)</f>
        <v>782.5731044370651</v>
      </c>
      <c r="H54" s="238">
        <f>SUM('B2C Cost Est (FY08)'!AX89:AZ93)</f>
        <v>0</v>
      </c>
      <c r="I54" s="238">
        <f t="shared" si="7"/>
        <v>1247.0463733778204</v>
      </c>
      <c r="J54" s="238">
        <f>SUM('B2C Cost Est (FY08)'!I89:I93)</f>
        <v>275.1625798036586</v>
      </c>
      <c r="K54" s="238">
        <f t="shared" si="8"/>
        <v>1522.208953181479</v>
      </c>
      <c r="L54" s="239">
        <f t="shared" si="9"/>
        <v>0.03796678083468097</v>
      </c>
      <c r="M54" s="239">
        <f t="shared" si="10"/>
        <v>0.22065144142020773</v>
      </c>
    </row>
    <row r="55" spans="1:13" ht="12.75">
      <c r="A55" s="118" t="s">
        <v>644</v>
      </c>
      <c r="B55" s="118"/>
      <c r="C55" s="118"/>
      <c r="D55" s="118"/>
      <c r="E55" s="238">
        <f>SUM('B2C Cost Est (FY08)'!Q95:S102)</f>
        <v>46.49371333333334</v>
      </c>
      <c r="F55" s="238">
        <f>SUM('B2C Cost Est (FY08)'!AB95:AD102)</f>
        <v>106.13787688151041</v>
      </c>
      <c r="G55" s="238">
        <f>SUM('B2C Cost Est (FY08)'!AM95:AO102)</f>
        <v>114.28226800347223</v>
      </c>
      <c r="H55" s="238">
        <f>SUM('B2C Cost Est (FY08)'!AX95:AZ102)</f>
        <v>1859.638659947917</v>
      </c>
      <c r="I55" s="238">
        <f t="shared" si="7"/>
        <v>2126.552518166233</v>
      </c>
      <c r="J55" s="238">
        <f>SUM('B2C Cost Est (FY08)'!I95:I102)</f>
        <v>513.2996597316189</v>
      </c>
      <c r="K55" s="238">
        <f t="shared" si="8"/>
        <v>2639.852177897852</v>
      </c>
      <c r="L55" s="239">
        <f t="shared" si="9"/>
        <v>0.06584292443210579</v>
      </c>
      <c r="M55" s="239">
        <f t="shared" si="10"/>
        <v>0.24137643220504476</v>
      </c>
    </row>
    <row r="56" spans="1:13" ht="12.75">
      <c r="A56" s="118" t="s">
        <v>994</v>
      </c>
      <c r="B56" s="118"/>
      <c r="C56" s="118"/>
      <c r="D56" s="118"/>
      <c r="E56" s="238">
        <f>SUM('B2C Cost Est (FY08)'!Q104:S107)</f>
        <v>14.104064444444443</v>
      </c>
      <c r="F56" s="238">
        <f>SUM('B2C Cost Est (FY08)'!AB104:AD107)</f>
        <v>20.35194888888889</v>
      </c>
      <c r="G56" s="238">
        <f>SUM('B2C Cost Est (FY08)'!AM104:AO107)</f>
        <v>554.9458513368055</v>
      </c>
      <c r="H56" s="238">
        <f>SUM('B2C Cost Est (FY08)'!AX104:AZ107)</f>
        <v>70.2021068923611</v>
      </c>
      <c r="I56" s="238">
        <f t="shared" si="7"/>
        <v>659.6039715625</v>
      </c>
      <c r="J56" s="238">
        <f>SUM('B2C Cost Est (FY08)'!I104:I107)</f>
        <v>90.89333171788702</v>
      </c>
      <c r="K56" s="238">
        <f t="shared" si="8"/>
        <v>750.497303280387</v>
      </c>
      <c r="L56" s="239">
        <f t="shared" si="9"/>
        <v>0.01871882737984952</v>
      </c>
      <c r="M56" s="239">
        <f t="shared" si="10"/>
        <v>0.13779985511999684</v>
      </c>
    </row>
    <row r="57" spans="1:13" ht="12.75">
      <c r="A57" s="218" t="s">
        <v>648</v>
      </c>
      <c r="B57" s="118"/>
      <c r="C57" s="118"/>
      <c r="D57" s="118"/>
      <c r="E57" s="238">
        <f>SUM(E49:E56)</f>
        <v>2843.0866494623956</v>
      </c>
      <c r="F57" s="238">
        <f aca="true" t="shared" si="11" ref="F57:K57">SUM(F49:F56)</f>
        <v>7413.698486683418</v>
      </c>
      <c r="G57" s="238">
        <f t="shared" si="11"/>
        <v>19183.13614422047</v>
      </c>
      <c r="H57" s="238">
        <f t="shared" si="11"/>
        <v>2911.7325866775172</v>
      </c>
      <c r="I57" s="238">
        <f t="shared" si="11"/>
        <v>32351.6538670438</v>
      </c>
      <c r="J57" s="238">
        <f t="shared" si="11"/>
        <v>7741.525478596392</v>
      </c>
      <c r="K57" s="238">
        <f t="shared" si="11"/>
        <v>40093.179345640194</v>
      </c>
      <c r="L57" s="239">
        <f t="shared" si="9"/>
        <v>1</v>
      </c>
      <c r="M57" s="239">
        <f t="shared" si="10"/>
        <v>0.23929303615858047</v>
      </c>
    </row>
    <row r="59" spans="1:13" ht="12.75">
      <c r="A59" s="315" t="s">
        <v>645</v>
      </c>
      <c r="B59" s="118"/>
      <c r="C59" s="118"/>
      <c r="D59" s="118"/>
      <c r="E59" s="289" t="s">
        <v>640</v>
      </c>
      <c r="F59" s="289"/>
      <c r="G59" s="289"/>
      <c r="H59" s="289"/>
      <c r="I59" s="289"/>
      <c r="J59" s="289"/>
      <c r="K59" s="289"/>
      <c r="L59" s="315" t="s">
        <v>638</v>
      </c>
      <c r="M59" s="315"/>
    </row>
    <row r="60" spans="1:13" ht="26.25" customHeight="1">
      <c r="A60" s="299"/>
      <c r="B60" s="125"/>
      <c r="C60" s="125"/>
      <c r="D60" s="125"/>
      <c r="E60" s="125" t="s">
        <v>512</v>
      </c>
      <c r="F60" s="125" t="s">
        <v>513</v>
      </c>
      <c r="G60" s="125" t="s">
        <v>518</v>
      </c>
      <c r="H60" s="125" t="s">
        <v>646</v>
      </c>
      <c r="I60" s="125" t="s">
        <v>647</v>
      </c>
      <c r="J60" s="125" t="s">
        <v>635</v>
      </c>
      <c r="K60" s="125" t="s">
        <v>839</v>
      </c>
      <c r="L60" s="299"/>
      <c r="M60" s="315"/>
    </row>
    <row r="61" spans="1:13" ht="12.75">
      <c r="A61" s="118" t="s">
        <v>842</v>
      </c>
      <c r="B61" s="118"/>
      <c r="C61" s="118"/>
      <c r="D61" s="118"/>
      <c r="E61" s="238">
        <f>873.6-E49</f>
        <v>36.421384171006366</v>
      </c>
      <c r="F61" s="238">
        <f>1231.6-F49</f>
        <v>29.930661723971298</v>
      </c>
      <c r="G61" s="238">
        <f>1593.6-G49</f>
        <v>54.1282134157982</v>
      </c>
      <c r="H61" s="238">
        <f>656.7-H49</f>
        <v>-0.03725396484367138</v>
      </c>
      <c r="I61" s="238">
        <f>SUM(E61:H61)</f>
        <v>120.44300534593219</v>
      </c>
      <c r="J61" s="238">
        <f>318.3-J49</f>
        <v>9.65202038139563</v>
      </c>
      <c r="K61" s="238">
        <f>I61+J61</f>
        <v>130.09502572732782</v>
      </c>
      <c r="L61" s="239">
        <f>K61/K$69</f>
        <v>0.06103963073843757</v>
      </c>
      <c r="M61" s="239"/>
    </row>
    <row r="62" spans="1:13" ht="12.75">
      <c r="A62" s="118" t="s">
        <v>856</v>
      </c>
      <c r="B62" s="118"/>
      <c r="C62" s="118"/>
      <c r="D62" s="118"/>
      <c r="E62" s="238">
        <f>810.6-E50</f>
        <v>108.10983300347232</v>
      </c>
      <c r="F62" s="238">
        <f>1003.8-F50</f>
        <v>-0.022489495442641783</v>
      </c>
      <c r="G62" s="238">
        <f>477.6-G50</f>
        <v>0.013537633463670318</v>
      </c>
      <c r="H62" s="238">
        <f>193.3-H50</f>
        <v>-0.025476983506905526</v>
      </c>
      <c r="I62" s="238">
        <f aca="true" t="shared" si="12" ref="I62:I68">SUM(E62:H62)</f>
        <v>108.07540415798644</v>
      </c>
      <c r="J62" s="238">
        <f>400.7-J50</f>
        <v>5.420000758476817</v>
      </c>
      <c r="K62" s="238">
        <f aca="true" t="shared" si="13" ref="K62:K68">I62+J62</f>
        <v>113.49540491646326</v>
      </c>
      <c r="L62" s="239">
        <f aca="true" t="shared" si="14" ref="L62:L69">K62/K$69</f>
        <v>0.05325121055074383</v>
      </c>
      <c r="M62" s="239"/>
    </row>
    <row r="63" spans="1:13" ht="12.75">
      <c r="A63" s="118" t="s">
        <v>641</v>
      </c>
      <c r="B63" s="118"/>
      <c r="C63" s="118"/>
      <c r="D63" s="118"/>
      <c r="E63" s="238">
        <f>729.9-E51</f>
        <v>25.487910011346003</v>
      </c>
      <c r="F63" s="238">
        <f>2208-F51</f>
        <v>141.3364536518552</v>
      </c>
      <c r="G63" s="238">
        <f>9742-G51</f>
        <v>1002.7289203921955</v>
      </c>
      <c r="H63" s="238">
        <f>3-H51</f>
        <v>-0.342222222222222</v>
      </c>
      <c r="I63" s="238">
        <f t="shared" si="12"/>
        <v>1169.2110618331744</v>
      </c>
      <c r="J63" s="238">
        <f>3849-J51</f>
        <v>412.4955374065703</v>
      </c>
      <c r="K63" s="238">
        <f t="shared" si="13"/>
        <v>1581.7065992397447</v>
      </c>
      <c r="L63" s="239">
        <f t="shared" si="14"/>
        <v>0.7421251213439994</v>
      </c>
      <c r="M63" s="239"/>
    </row>
    <row r="64" spans="1:13" ht="12.75">
      <c r="A64" s="118" t="s">
        <v>642</v>
      </c>
      <c r="B64" s="118"/>
      <c r="C64" s="118"/>
      <c r="D64" s="118"/>
      <c r="E64" s="238">
        <f>285.3-E52</f>
        <v>-0.015495985243035193</v>
      </c>
      <c r="F64" s="238">
        <f>1947-F52</f>
        <v>55.95658656249998</v>
      </c>
      <c r="G64" s="238">
        <f>6619-G52</f>
        <v>283.59792777470466</v>
      </c>
      <c r="H64" s="238">
        <f>128-H52</f>
        <v>-0.486866666666657</v>
      </c>
      <c r="I64" s="238">
        <f t="shared" si="12"/>
        <v>339.0521516852949</v>
      </c>
      <c r="J64" s="238">
        <f>1935-J52</f>
        <v>-555.6387352901202</v>
      </c>
      <c r="K64" s="238">
        <f t="shared" si="13"/>
        <v>-216.58658360482525</v>
      </c>
      <c r="L64" s="239">
        <f t="shared" si="14"/>
        <v>-0.10162083455709864</v>
      </c>
      <c r="M64" s="239"/>
    </row>
    <row r="65" spans="1:13" ht="12.75">
      <c r="A65" s="118" t="s">
        <v>954</v>
      </c>
      <c r="B65" s="118"/>
      <c r="C65" s="118"/>
      <c r="D65" s="118"/>
      <c r="E65" s="238">
        <f>166.3-E53</f>
        <v>0.018100000000004002</v>
      </c>
      <c r="F65" s="238">
        <f>756-F53</f>
        <v>9.652792699653105</v>
      </c>
      <c r="G65" s="238">
        <f>646-G53</f>
        <v>6.396480340711946</v>
      </c>
      <c r="H65" s="238">
        <f>0-H53</f>
        <v>0</v>
      </c>
      <c r="I65" s="238">
        <f t="shared" si="12"/>
        <v>16.067373040365055</v>
      </c>
      <c r="J65" s="238">
        <f>233-J53</f>
        <v>1.9012694004499622</v>
      </c>
      <c r="K65" s="238">
        <f t="shared" si="13"/>
        <v>17.968642440815017</v>
      </c>
      <c r="L65" s="239">
        <f t="shared" si="14"/>
        <v>0.008430755083266586</v>
      </c>
      <c r="M65" s="239"/>
    </row>
    <row r="66" spans="1:13" ht="12.75">
      <c r="A66" s="118" t="s">
        <v>643</v>
      </c>
      <c r="B66" s="118"/>
      <c r="C66" s="118"/>
      <c r="D66" s="118"/>
      <c r="E66" s="238">
        <f>95.1-E54</f>
        <v>8.289397114800352</v>
      </c>
      <c r="F66" s="238">
        <f>424-F54</f>
        <v>46.337333944444424</v>
      </c>
      <c r="G66" s="238">
        <f>1049-G54</f>
        <v>266.4268955629349</v>
      </c>
      <c r="H66" s="238">
        <f>19-H54</f>
        <v>19</v>
      </c>
      <c r="I66" s="238">
        <f t="shared" si="12"/>
        <v>340.05362662217965</v>
      </c>
      <c r="J66" s="238">
        <f>344-J54</f>
        <v>68.83742019634138</v>
      </c>
      <c r="K66" s="238">
        <f t="shared" si="13"/>
        <v>408.89104681852103</v>
      </c>
      <c r="L66" s="239">
        <f t="shared" si="14"/>
        <v>0.19184867653869803</v>
      </c>
      <c r="M66" s="239"/>
    </row>
    <row r="67" spans="1:13" ht="12.75">
      <c r="A67" s="118" t="s">
        <v>644</v>
      </c>
      <c r="B67" s="118"/>
      <c r="C67" s="118"/>
      <c r="D67" s="118"/>
      <c r="E67" s="238">
        <f>46.5-E55</f>
        <v>0.0062866666666607784</v>
      </c>
      <c r="F67" s="238">
        <f>106-F55</f>
        <v>-0.1378768815104081</v>
      </c>
      <c r="G67" s="238">
        <f>114-G55</f>
        <v>-0.28226800347222536</v>
      </c>
      <c r="H67" s="238">
        <f>1944-H55</f>
        <v>84.36134005208305</v>
      </c>
      <c r="I67" s="238">
        <f t="shared" si="12"/>
        <v>83.94748183376709</v>
      </c>
      <c r="J67" s="238">
        <f>525-J55</f>
        <v>11.700340268381069</v>
      </c>
      <c r="K67" s="238">
        <f t="shared" si="13"/>
        <v>95.64782210214815</v>
      </c>
      <c r="L67" s="239">
        <f t="shared" si="14"/>
        <v>0.044877255755248244</v>
      </c>
      <c r="M67" s="239"/>
    </row>
    <row r="68" spans="1:13" ht="12.75">
      <c r="A68" s="118" t="s">
        <v>994</v>
      </c>
      <c r="B68" s="118"/>
      <c r="C68" s="118"/>
      <c r="D68" s="118"/>
      <c r="E68" s="238">
        <f>14.1-E56</f>
        <v>-0.004064444444443538</v>
      </c>
      <c r="F68" s="238">
        <f>20.4-F56</f>
        <v>0.04805111111110705</v>
      </c>
      <c r="G68" s="238">
        <f>554.9-G56</f>
        <v>-0.045851336805526444</v>
      </c>
      <c r="H68" s="238">
        <f>70.2-H56</f>
        <v>-0.0021068923610982893</v>
      </c>
      <c r="I68" s="238">
        <f t="shared" si="12"/>
        <v>-0.003971562499961223</v>
      </c>
      <c r="J68" s="238">
        <f>91-J56</f>
        <v>0.10666828211297741</v>
      </c>
      <c r="K68" s="238">
        <f t="shared" si="13"/>
        <v>0.10269671961301619</v>
      </c>
      <c r="L68" s="239">
        <f t="shared" si="14"/>
        <v>4.8184546704852136E-05</v>
      </c>
      <c r="M68" s="239"/>
    </row>
    <row r="69" spans="1:13" ht="12.75">
      <c r="A69" s="218" t="s">
        <v>648</v>
      </c>
      <c r="B69" s="118"/>
      <c r="C69" s="118"/>
      <c r="D69" s="118"/>
      <c r="E69" s="238">
        <f aca="true" t="shared" si="15" ref="E69:K69">SUM(E61:E68)</f>
        <v>178.3133505376042</v>
      </c>
      <c r="F69" s="238">
        <f t="shared" si="15"/>
        <v>283.1015133165821</v>
      </c>
      <c r="G69" s="238">
        <f t="shared" si="15"/>
        <v>1612.9638557795315</v>
      </c>
      <c r="H69" s="238">
        <f t="shared" si="15"/>
        <v>102.4674133224825</v>
      </c>
      <c r="I69" s="238">
        <f t="shared" si="15"/>
        <v>2176.8461329562</v>
      </c>
      <c r="J69" s="238">
        <f t="shared" si="15"/>
        <v>-45.525478596392034</v>
      </c>
      <c r="K69" s="238">
        <f t="shared" si="15"/>
        <v>2131.320654359808</v>
      </c>
      <c r="L69" s="239">
        <f t="shared" si="14"/>
        <v>1</v>
      </c>
      <c r="M69" s="239"/>
    </row>
  </sheetData>
  <mergeCells count="20">
    <mergeCell ref="M47:M48"/>
    <mergeCell ref="A59:A60"/>
    <mergeCell ref="E59:K59"/>
    <mergeCell ref="L59:L60"/>
    <mergeCell ref="M59:M60"/>
    <mergeCell ref="E29:E30"/>
    <mergeCell ref="L29:L30"/>
    <mergeCell ref="E47:K47"/>
    <mergeCell ref="A47:A48"/>
    <mergeCell ref="L47:L48"/>
    <mergeCell ref="E1:F1"/>
    <mergeCell ref="G1:M1"/>
    <mergeCell ref="A29:A30"/>
    <mergeCell ref="A38:A39"/>
    <mergeCell ref="E38:E39"/>
    <mergeCell ref="F38:K38"/>
    <mergeCell ref="L38:L39"/>
    <mergeCell ref="E21:F21"/>
    <mergeCell ref="G21:M21"/>
    <mergeCell ref="F29:K29"/>
  </mergeCells>
  <printOptions gridLines="1"/>
  <pageMargins left="0.51" right="0.17" top="0.55" bottom="0.68" header="0.42" footer="0.38"/>
  <pageSetup horizontalDpi="600" verticalDpi="600" orientation="landscape" r:id="rId4"/>
  <headerFooter alignWithMargins="0">
    <oddFooter>&amp;L&amp;F&amp;R&amp;A</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D108"/>
  <sheetViews>
    <sheetView workbookViewId="0" topLeftCell="A1">
      <pane xSplit="3795" ySplit="1020" topLeftCell="A63" activePane="bottomRight" state="split"/>
      <selection pane="topLeft" activeCell="A1" sqref="A1:A16384"/>
      <selection pane="topRight" activeCell="A1" sqref="A1:BD16384"/>
      <selection pane="bottomLeft" activeCell="V39" sqref="V39"/>
      <selection pane="bottomRight" activeCell="F68" sqref="F68:G68"/>
    </sheetView>
  </sheetViews>
  <sheetFormatPr defaultColWidth="9.140625" defaultRowHeight="12.75"/>
  <cols>
    <col min="1" max="1" width="5.8515625" style="0" customWidth="1"/>
    <col min="2" max="2" width="26.57421875" style="0" customWidth="1"/>
    <col min="3" max="3" width="7.421875" style="0" customWidth="1"/>
    <col min="4" max="4" width="5.7109375" style="0" customWidth="1"/>
    <col min="5" max="5" width="6.140625" style="0" customWidth="1"/>
    <col min="6" max="6" width="6.7109375" style="0" customWidth="1"/>
    <col min="8" max="8" width="7.00390625" style="0" customWidth="1"/>
    <col min="9" max="9" width="7.57421875" style="0" customWidth="1"/>
    <col min="10" max="10" width="7.28125" style="0" customWidth="1"/>
    <col min="11" max="11" width="6.57421875" style="0" customWidth="1"/>
    <col min="12" max="12" width="6.421875" style="0" customWidth="1"/>
    <col min="13" max="13" width="4.7109375" style="0" customWidth="1"/>
    <col min="14" max="14" width="7.421875" style="0" customWidth="1"/>
    <col min="15" max="15" width="6.140625" style="0" customWidth="1"/>
    <col min="16" max="16" width="6.421875" style="0" customWidth="1"/>
    <col min="17" max="17" width="7.140625" style="0" customWidth="1"/>
    <col min="18" max="18" width="8.8515625" style="0" customWidth="1"/>
    <col min="19" max="19" width="7.00390625" style="0" customWidth="1"/>
    <col min="20" max="20" width="7.8515625" style="0" customWidth="1"/>
    <col min="21" max="21" width="7.421875" style="0" customWidth="1"/>
    <col min="22" max="22" width="7.140625" style="0" customWidth="1"/>
    <col min="23" max="23" width="6.421875" style="0" customWidth="1"/>
    <col min="24" max="24" width="4.7109375" style="0" customWidth="1"/>
    <col min="34" max="34" width="6.421875" style="0" customWidth="1"/>
    <col min="35" max="35" width="4.7109375" style="0" customWidth="1"/>
    <col min="45" max="45" width="6.421875" style="0" customWidth="1"/>
    <col min="46" max="46" width="4.7109375" style="0" customWidth="1"/>
  </cols>
  <sheetData>
    <row r="1" spans="2:56" ht="12.75">
      <c r="B1" s="103"/>
      <c r="C1" s="286" t="s">
        <v>685</v>
      </c>
      <c r="D1" s="286"/>
      <c r="E1" s="286"/>
      <c r="F1" s="286"/>
      <c r="G1" s="286"/>
      <c r="H1" s="286"/>
      <c r="I1" s="286"/>
      <c r="J1" s="286"/>
      <c r="K1" s="286"/>
      <c r="L1" s="286"/>
      <c r="N1" s="286" t="s">
        <v>684</v>
      </c>
      <c r="O1" s="286"/>
      <c r="P1" s="286"/>
      <c r="Q1" s="286"/>
      <c r="R1" s="286"/>
      <c r="S1" s="286"/>
      <c r="T1" s="286"/>
      <c r="U1" s="286"/>
      <c r="V1" s="286"/>
      <c r="W1" s="286"/>
      <c r="Y1" s="286" t="s">
        <v>686</v>
      </c>
      <c r="Z1" s="286"/>
      <c r="AA1" s="286"/>
      <c r="AB1" s="286"/>
      <c r="AC1" s="286"/>
      <c r="AD1" s="286"/>
      <c r="AE1" s="286"/>
      <c r="AF1" s="286"/>
      <c r="AG1" s="286"/>
      <c r="AH1" s="286"/>
      <c r="AJ1" s="286" t="s">
        <v>687</v>
      </c>
      <c r="AK1" s="286"/>
      <c r="AL1" s="286"/>
      <c r="AM1" s="286"/>
      <c r="AN1" s="286"/>
      <c r="AO1" s="286"/>
      <c r="AP1" s="286"/>
      <c r="AQ1" s="286"/>
      <c r="AR1" s="286"/>
      <c r="AS1" s="286"/>
      <c r="AU1" s="286" t="s">
        <v>688</v>
      </c>
      <c r="AV1" s="286"/>
      <c r="AW1" s="286"/>
      <c r="AX1" s="286"/>
      <c r="AY1" s="286"/>
      <c r="AZ1" s="286"/>
      <c r="BA1" s="286"/>
      <c r="BB1" s="286"/>
      <c r="BC1" s="286"/>
      <c r="BD1" s="286"/>
    </row>
    <row r="2" spans="1:55" ht="12.75" customHeight="1">
      <c r="A2" s="3"/>
      <c r="B2" s="4"/>
      <c r="C2" s="287" t="s">
        <v>843</v>
      </c>
      <c r="D2" s="287"/>
      <c r="E2" s="287" t="s">
        <v>838</v>
      </c>
      <c r="F2" s="287" t="s">
        <v>844</v>
      </c>
      <c r="G2" s="287"/>
      <c r="H2" s="287"/>
      <c r="I2" s="287"/>
      <c r="J2" s="287"/>
      <c r="K2" s="288" t="s">
        <v>845</v>
      </c>
      <c r="N2" s="287" t="s">
        <v>843</v>
      </c>
      <c r="O2" s="287"/>
      <c r="P2" s="287" t="s">
        <v>838</v>
      </c>
      <c r="Q2" s="287" t="s">
        <v>844</v>
      </c>
      <c r="R2" s="287"/>
      <c r="S2" s="287"/>
      <c r="T2" s="287"/>
      <c r="U2" s="287"/>
      <c r="V2" s="288" t="s">
        <v>682</v>
      </c>
      <c r="Y2" s="287" t="s">
        <v>843</v>
      </c>
      <c r="Z2" s="287"/>
      <c r="AA2" s="287" t="s">
        <v>838</v>
      </c>
      <c r="AB2" s="287" t="s">
        <v>844</v>
      </c>
      <c r="AC2" s="287"/>
      <c r="AD2" s="287"/>
      <c r="AE2" s="287"/>
      <c r="AF2" s="287"/>
      <c r="AG2" s="288" t="s">
        <v>682</v>
      </c>
      <c r="AJ2" s="287" t="s">
        <v>843</v>
      </c>
      <c r="AK2" s="287"/>
      <c r="AL2" s="287" t="s">
        <v>838</v>
      </c>
      <c r="AM2" s="287" t="s">
        <v>844</v>
      </c>
      <c r="AN2" s="287"/>
      <c r="AO2" s="287"/>
      <c r="AP2" s="287"/>
      <c r="AQ2" s="287"/>
      <c r="AR2" s="288" t="s">
        <v>682</v>
      </c>
      <c r="AU2" s="287" t="s">
        <v>843</v>
      </c>
      <c r="AV2" s="287"/>
      <c r="AW2" s="287" t="s">
        <v>838</v>
      </c>
      <c r="AX2" s="287" t="s">
        <v>844</v>
      </c>
      <c r="AY2" s="287"/>
      <c r="AZ2" s="287"/>
      <c r="BA2" s="287"/>
      <c r="BB2" s="287"/>
      <c r="BC2" s="288" t="s">
        <v>682</v>
      </c>
    </row>
    <row r="3" spans="1:55" ht="12.75">
      <c r="A3" s="6"/>
      <c r="B3" s="7"/>
      <c r="C3" s="5" t="s">
        <v>846</v>
      </c>
      <c r="D3" s="5" t="s">
        <v>847</v>
      </c>
      <c r="E3" s="287"/>
      <c r="F3" s="5" t="s">
        <v>843</v>
      </c>
      <c r="G3" s="5" t="s">
        <v>840</v>
      </c>
      <c r="H3" s="5" t="s">
        <v>848</v>
      </c>
      <c r="I3" s="5" t="s">
        <v>841</v>
      </c>
      <c r="J3" s="5" t="s">
        <v>839</v>
      </c>
      <c r="K3" s="288"/>
      <c r="N3" s="5" t="s">
        <v>846</v>
      </c>
      <c r="O3" s="5" t="s">
        <v>847</v>
      </c>
      <c r="P3" s="287"/>
      <c r="Q3" s="5" t="s">
        <v>843</v>
      </c>
      <c r="R3" s="5" t="s">
        <v>840</v>
      </c>
      <c r="S3" s="5" t="s">
        <v>848</v>
      </c>
      <c r="T3" s="5" t="s">
        <v>841</v>
      </c>
      <c r="U3" s="5" t="s">
        <v>839</v>
      </c>
      <c r="V3" s="288"/>
      <c r="Y3" s="5" t="s">
        <v>846</v>
      </c>
      <c r="Z3" s="5" t="s">
        <v>847</v>
      </c>
      <c r="AA3" s="287"/>
      <c r="AB3" s="5" t="s">
        <v>843</v>
      </c>
      <c r="AC3" s="5" t="s">
        <v>840</v>
      </c>
      <c r="AD3" s="5" t="s">
        <v>848</v>
      </c>
      <c r="AE3" s="5" t="s">
        <v>841</v>
      </c>
      <c r="AF3" s="5" t="s">
        <v>839</v>
      </c>
      <c r="AG3" s="288"/>
      <c r="AJ3" s="5" t="s">
        <v>846</v>
      </c>
      <c r="AK3" s="5" t="s">
        <v>847</v>
      </c>
      <c r="AL3" s="287"/>
      <c r="AM3" s="5" t="s">
        <v>843</v>
      </c>
      <c r="AN3" s="5" t="s">
        <v>840</v>
      </c>
      <c r="AO3" s="5" t="s">
        <v>848</v>
      </c>
      <c r="AP3" s="5" t="s">
        <v>841</v>
      </c>
      <c r="AQ3" s="5" t="s">
        <v>839</v>
      </c>
      <c r="AR3" s="288"/>
      <c r="AU3" s="5" t="s">
        <v>846</v>
      </c>
      <c r="AV3" s="5" t="s">
        <v>847</v>
      </c>
      <c r="AW3" s="287"/>
      <c r="AX3" s="5" t="s">
        <v>843</v>
      </c>
      <c r="AY3" s="5" t="s">
        <v>840</v>
      </c>
      <c r="AZ3" s="5" t="s">
        <v>848</v>
      </c>
      <c r="BA3" s="5" t="s">
        <v>841</v>
      </c>
      <c r="BB3" s="5" t="s">
        <v>839</v>
      </c>
      <c r="BC3" s="288"/>
    </row>
    <row r="4" spans="1:56" ht="12.75">
      <c r="A4" s="8">
        <v>2</v>
      </c>
      <c r="B4" s="9" t="s">
        <v>842</v>
      </c>
      <c r="C4" s="10"/>
      <c r="D4" s="10"/>
      <c r="E4" s="10"/>
      <c r="F4" s="10"/>
      <c r="G4" s="10"/>
      <c r="H4" s="10"/>
      <c r="I4" s="10"/>
      <c r="J4" s="10"/>
      <c r="K4" s="11">
        <v>0.11068478200147633</v>
      </c>
      <c r="L4" s="12">
        <v>4673.861396151357</v>
      </c>
      <c r="N4" s="10"/>
      <c r="O4" s="10"/>
      <c r="P4" s="10"/>
      <c r="Q4" s="10"/>
      <c r="R4" s="10"/>
      <c r="S4" s="10"/>
      <c r="T4" s="10"/>
      <c r="U4" s="10"/>
      <c r="V4" s="10"/>
      <c r="W4" s="12">
        <v>925.6431048846325</v>
      </c>
      <c r="Y4" s="10"/>
      <c r="Z4" s="10"/>
      <c r="AA4" s="10"/>
      <c r="AB4" s="10"/>
      <c r="AC4" s="10"/>
      <c r="AD4" s="10"/>
      <c r="AE4" s="10"/>
      <c r="AF4" s="10"/>
      <c r="AG4" s="10"/>
      <c r="AH4" s="12">
        <v>1310.7493982760607</v>
      </c>
      <c r="AJ4" s="10"/>
      <c r="AK4" s="10"/>
      <c r="AL4" s="10"/>
      <c r="AM4" s="10"/>
      <c r="AN4" s="10"/>
      <c r="AO4" s="10"/>
      <c r="AP4" s="10"/>
      <c r="AQ4" s="10"/>
      <c r="AR4" s="10"/>
      <c r="AS4" s="12">
        <v>1738.9442839127128</v>
      </c>
      <c r="AU4" s="10"/>
      <c r="AV4" s="10"/>
      <c r="AW4" s="10"/>
      <c r="AX4" s="10"/>
      <c r="AY4" s="10"/>
      <c r="AZ4" s="10"/>
      <c r="BA4" s="10"/>
      <c r="BB4" s="10"/>
      <c r="BC4" s="10"/>
      <c r="BD4" s="12">
        <v>698.5246090779513</v>
      </c>
    </row>
    <row r="5" spans="1:56" ht="12.75">
      <c r="A5" s="13">
        <v>2.1</v>
      </c>
      <c r="B5" s="13" t="s">
        <v>849</v>
      </c>
      <c r="C5" s="14">
        <v>4390</v>
      </c>
      <c r="D5" s="15">
        <v>2.438888888888889</v>
      </c>
      <c r="E5" s="14">
        <v>5</v>
      </c>
      <c r="F5" s="14">
        <v>420.61103888888897</v>
      </c>
      <c r="G5" s="14">
        <v>0</v>
      </c>
      <c r="H5" s="14">
        <v>18.858675537109374</v>
      </c>
      <c r="I5" s="14">
        <v>21.97348604873037</v>
      </c>
      <c r="J5" s="14">
        <v>461.4432004747287</v>
      </c>
      <c r="K5" s="16"/>
      <c r="L5" s="17"/>
      <c r="N5" s="14">
        <v>1570</v>
      </c>
      <c r="O5" s="15">
        <v>0.8722222222222222</v>
      </c>
      <c r="P5" s="14">
        <v>0</v>
      </c>
      <c r="Q5" s="14">
        <v>157.8079166666667</v>
      </c>
      <c r="R5" s="14">
        <v>0</v>
      </c>
      <c r="S5" s="14">
        <v>0</v>
      </c>
      <c r="T5" s="14">
        <v>7.890395950909395</v>
      </c>
      <c r="U5" s="14">
        <v>165.6983126175761</v>
      </c>
      <c r="V5" s="16">
        <v>0.3590871258848481</v>
      </c>
      <c r="W5" s="17"/>
      <c r="Y5" s="14">
        <v>1900</v>
      </c>
      <c r="Z5" s="15">
        <v>1.0555555555555556</v>
      </c>
      <c r="AA5" s="14">
        <v>1</v>
      </c>
      <c r="AB5" s="14">
        <v>186.21311111111112</v>
      </c>
      <c r="AC5" s="14">
        <v>0</v>
      </c>
      <c r="AD5" s="14">
        <v>3.771735107421875</v>
      </c>
      <c r="AE5" s="14">
        <v>9.49924245247639</v>
      </c>
      <c r="AF5" s="14">
        <v>199.48408867100937</v>
      </c>
      <c r="AG5" s="16">
        <v>0.4323047527101535</v>
      </c>
      <c r="AH5" s="17"/>
      <c r="AJ5" s="14">
        <v>760</v>
      </c>
      <c r="AK5" s="15">
        <v>0.4222222222222222</v>
      </c>
      <c r="AL5" s="14">
        <v>4</v>
      </c>
      <c r="AM5" s="14">
        <v>61.7891</v>
      </c>
      <c r="AN5" s="14">
        <v>0</v>
      </c>
      <c r="AO5" s="14">
        <v>15.0869404296875</v>
      </c>
      <c r="AP5" s="14">
        <v>3.8438020787614886</v>
      </c>
      <c r="AQ5" s="14">
        <v>80.71984250844898</v>
      </c>
      <c r="AR5" s="16">
        <v>0.1749290972873912</v>
      </c>
      <c r="AS5" s="17"/>
      <c r="AU5" s="14">
        <v>160</v>
      </c>
      <c r="AV5" s="15">
        <v>0.08888888888888889</v>
      </c>
      <c r="AW5" s="14">
        <v>0</v>
      </c>
      <c r="AX5" s="14">
        <v>14.800911111111112</v>
      </c>
      <c r="AY5" s="14">
        <v>0</v>
      </c>
      <c r="AZ5" s="14">
        <v>0</v>
      </c>
      <c r="BA5" s="14">
        <v>0.7400455665830937</v>
      </c>
      <c r="BB5" s="14">
        <v>15.540956677694206</v>
      </c>
      <c r="BC5" s="16">
        <v>0.03367902411760712</v>
      </c>
      <c r="BD5" s="17"/>
    </row>
    <row r="6" spans="1:56" ht="12.75">
      <c r="A6" s="18">
        <v>2.2</v>
      </c>
      <c r="B6" s="13" t="s">
        <v>850</v>
      </c>
      <c r="C6" s="14">
        <v>8358</v>
      </c>
      <c r="D6" s="15">
        <v>4.6433333333333335</v>
      </c>
      <c r="E6" s="14">
        <v>85</v>
      </c>
      <c r="F6" s="14">
        <v>766.0623833333334</v>
      </c>
      <c r="G6" s="14">
        <v>0</v>
      </c>
      <c r="H6" s="14">
        <v>231.88890234375</v>
      </c>
      <c r="I6" s="14">
        <v>56.835342953310466</v>
      </c>
      <c r="J6" s="14">
        <v>1054.7866286303938</v>
      </c>
      <c r="K6" s="16"/>
      <c r="L6" s="17"/>
      <c r="N6" s="14">
        <v>2170</v>
      </c>
      <c r="O6" s="15">
        <v>1.2055555555555555</v>
      </c>
      <c r="P6" s="14">
        <v>22</v>
      </c>
      <c r="Q6" s="14">
        <v>198.78067777777778</v>
      </c>
      <c r="R6" s="14">
        <v>0</v>
      </c>
      <c r="S6" s="14">
        <v>66.018796875</v>
      </c>
      <c r="T6" s="14">
        <v>13.23997392992987</v>
      </c>
      <c r="U6" s="14">
        <v>278.0394485827077</v>
      </c>
      <c r="V6" s="16">
        <v>0.26359781308920543</v>
      </c>
      <c r="W6" s="17"/>
      <c r="Y6" s="14">
        <v>3300</v>
      </c>
      <c r="Z6" s="15">
        <v>1.8333333333333333</v>
      </c>
      <c r="AA6" s="14">
        <v>37</v>
      </c>
      <c r="AB6" s="14">
        <v>309.266</v>
      </c>
      <c r="AC6" s="14">
        <v>0</v>
      </c>
      <c r="AD6" s="14">
        <v>108.0582109375</v>
      </c>
      <c r="AE6" s="14">
        <v>20.86621085780577</v>
      </c>
      <c r="AF6" s="14">
        <v>438.1904217953058</v>
      </c>
      <c r="AG6" s="16">
        <v>0.4154303912292497</v>
      </c>
      <c r="AH6" s="17"/>
      <c r="AJ6" s="14">
        <v>2414</v>
      </c>
      <c r="AK6" s="15">
        <v>1.3411111111111111</v>
      </c>
      <c r="AL6" s="14">
        <v>26</v>
      </c>
      <c r="AM6" s="14">
        <v>207.27471888888888</v>
      </c>
      <c r="AN6" s="14">
        <v>0</v>
      </c>
      <c r="AO6" s="14">
        <v>57.81189453125</v>
      </c>
      <c r="AP6" s="14">
        <v>21.20692859959931</v>
      </c>
      <c r="AQ6" s="14">
        <v>286.2935420197382</v>
      </c>
      <c r="AR6" s="16">
        <v>0.27142318100057927</v>
      </c>
      <c r="AS6" s="17"/>
      <c r="AU6" s="14">
        <v>474</v>
      </c>
      <c r="AV6" s="15">
        <v>0.2633333333333333</v>
      </c>
      <c r="AW6" s="14">
        <v>0</v>
      </c>
      <c r="AX6" s="14">
        <v>50.74098666666667</v>
      </c>
      <c r="AY6" s="14">
        <v>0</v>
      </c>
      <c r="AZ6" s="14">
        <v>0</v>
      </c>
      <c r="BA6" s="14">
        <v>1.522229565975517</v>
      </c>
      <c r="BB6" s="14">
        <v>52.263216232642186</v>
      </c>
      <c r="BC6" s="16">
        <v>0.04954861468096564</v>
      </c>
      <c r="BD6" s="17"/>
    </row>
    <row r="7" spans="1:56" ht="12.75">
      <c r="A7" s="13">
        <v>2.3</v>
      </c>
      <c r="B7" s="13" t="s">
        <v>851</v>
      </c>
      <c r="C7" s="14">
        <v>5412.200012207031</v>
      </c>
      <c r="D7" s="15">
        <v>3.006777784559462</v>
      </c>
      <c r="E7" s="14">
        <v>49</v>
      </c>
      <c r="F7" s="14">
        <v>535.4450810787625</v>
      </c>
      <c r="G7" s="14">
        <v>0</v>
      </c>
      <c r="H7" s="14">
        <v>121.97242382812499</v>
      </c>
      <c r="I7" s="14">
        <v>37.922900799425875</v>
      </c>
      <c r="J7" s="14">
        <v>695.3404057063134</v>
      </c>
      <c r="K7" s="16"/>
      <c r="L7" s="17"/>
      <c r="N7" s="14">
        <v>829</v>
      </c>
      <c r="O7" s="15">
        <v>0.46055555555555555</v>
      </c>
      <c r="P7" s="14">
        <v>7</v>
      </c>
      <c r="Q7" s="14">
        <v>94.04954111111111</v>
      </c>
      <c r="R7" s="14">
        <v>0</v>
      </c>
      <c r="S7" s="14">
        <v>13.701072265625</v>
      </c>
      <c r="T7" s="14">
        <v>5.387530749117269</v>
      </c>
      <c r="U7" s="14">
        <v>113.13814412585339</v>
      </c>
      <c r="V7" s="16">
        <v>0.16270900295363944</v>
      </c>
      <c r="W7" s="17"/>
      <c r="Y7" s="14">
        <v>1339.2000122070312</v>
      </c>
      <c r="Z7" s="15">
        <v>0.744000006781684</v>
      </c>
      <c r="AA7" s="14">
        <v>11</v>
      </c>
      <c r="AB7" s="14">
        <v>134.91422107876247</v>
      </c>
      <c r="AC7" s="14">
        <v>0</v>
      </c>
      <c r="AD7" s="14">
        <v>22.2224765625</v>
      </c>
      <c r="AE7" s="14">
        <v>7.856834999139086</v>
      </c>
      <c r="AF7" s="14">
        <v>164.99353264040155</v>
      </c>
      <c r="AG7" s="16">
        <v>0.2372845462256782</v>
      </c>
      <c r="AH7" s="17"/>
      <c r="AJ7" s="14">
        <v>1890</v>
      </c>
      <c r="AK7" s="15">
        <v>1.05</v>
      </c>
      <c r="AL7" s="14">
        <v>18</v>
      </c>
      <c r="AM7" s="14">
        <v>173.78580555555556</v>
      </c>
      <c r="AN7" s="14">
        <v>0</v>
      </c>
      <c r="AO7" s="14">
        <v>50.647390625</v>
      </c>
      <c r="AP7" s="14">
        <v>17.954655293126617</v>
      </c>
      <c r="AQ7" s="14">
        <v>242.3878514736822</v>
      </c>
      <c r="AR7" s="16">
        <v>0.3485887624025951</v>
      </c>
      <c r="AS7" s="17"/>
      <c r="AU7" s="14">
        <v>1354</v>
      </c>
      <c r="AV7" s="15">
        <v>0.7522222222222222</v>
      </c>
      <c r="AW7" s="14">
        <v>13</v>
      </c>
      <c r="AX7" s="14">
        <v>132.69551333333334</v>
      </c>
      <c r="AY7" s="14">
        <v>0</v>
      </c>
      <c r="AZ7" s="14">
        <v>35.401484375</v>
      </c>
      <c r="BA7" s="14">
        <v>6.723879758042905</v>
      </c>
      <c r="BB7" s="14">
        <v>174.82087746637623</v>
      </c>
      <c r="BC7" s="16">
        <v>0.2514176884180872</v>
      </c>
      <c r="BD7" s="17"/>
    </row>
    <row r="8" spans="1:56" ht="12.75">
      <c r="A8" s="13">
        <v>2.4</v>
      </c>
      <c r="B8" s="13" t="s">
        <v>852</v>
      </c>
      <c r="C8" s="14">
        <v>80</v>
      </c>
      <c r="D8" s="15">
        <v>0.044444444444444446</v>
      </c>
      <c r="E8" s="14">
        <v>0</v>
      </c>
      <c r="F8" s="14">
        <v>9.98248888888889</v>
      </c>
      <c r="G8" s="14">
        <v>0</v>
      </c>
      <c r="H8" s="14">
        <v>0</v>
      </c>
      <c r="I8" s="14">
        <v>0.9982489037639565</v>
      </c>
      <c r="J8" s="14">
        <v>10.980737792652846</v>
      </c>
      <c r="K8" s="16"/>
      <c r="L8" s="17"/>
      <c r="N8" s="14">
        <v>40</v>
      </c>
      <c r="O8" s="15">
        <v>0.022222222222222223</v>
      </c>
      <c r="P8" s="14">
        <v>0</v>
      </c>
      <c r="Q8" s="14">
        <v>4.991244444444445</v>
      </c>
      <c r="R8" s="14">
        <v>0</v>
      </c>
      <c r="S8" s="14">
        <v>0</v>
      </c>
      <c r="T8" s="14">
        <v>0.49912445188197824</v>
      </c>
      <c r="U8" s="14">
        <v>5.490368896326423</v>
      </c>
      <c r="V8" s="16">
        <v>0.5</v>
      </c>
      <c r="W8" s="17"/>
      <c r="Y8" s="14">
        <v>40</v>
      </c>
      <c r="Z8" s="15">
        <v>0.022222222222222223</v>
      </c>
      <c r="AA8" s="14">
        <v>0</v>
      </c>
      <c r="AB8" s="14">
        <v>4.991244444444445</v>
      </c>
      <c r="AC8" s="14">
        <v>0</v>
      </c>
      <c r="AD8" s="14">
        <v>0</v>
      </c>
      <c r="AE8" s="14">
        <v>0.49912445188197824</v>
      </c>
      <c r="AF8" s="14">
        <v>5.490368896326423</v>
      </c>
      <c r="AG8" s="16">
        <v>0.5</v>
      </c>
      <c r="AH8" s="17"/>
      <c r="AJ8" s="14">
        <v>0</v>
      </c>
      <c r="AK8" s="15">
        <v>0</v>
      </c>
      <c r="AL8" s="14">
        <v>0</v>
      </c>
      <c r="AM8" s="14">
        <v>0</v>
      </c>
      <c r="AN8" s="14">
        <v>0</v>
      </c>
      <c r="AO8" s="14">
        <v>0</v>
      </c>
      <c r="AP8" s="14">
        <v>0</v>
      </c>
      <c r="AQ8" s="14">
        <v>0</v>
      </c>
      <c r="AR8" s="16">
        <v>0</v>
      </c>
      <c r="AS8" s="17"/>
      <c r="AU8" s="14">
        <v>0</v>
      </c>
      <c r="AV8" s="15">
        <v>0</v>
      </c>
      <c r="AW8" s="14">
        <v>0</v>
      </c>
      <c r="AX8" s="14">
        <v>0</v>
      </c>
      <c r="AY8" s="14">
        <v>0</v>
      </c>
      <c r="AZ8" s="14">
        <v>0</v>
      </c>
      <c r="BA8" s="14">
        <v>0</v>
      </c>
      <c r="BB8" s="14">
        <v>0</v>
      </c>
      <c r="BC8" s="16">
        <v>0</v>
      </c>
      <c r="BD8" s="17"/>
    </row>
    <row r="9" spans="1:56" ht="12.75">
      <c r="A9" s="13">
        <v>2.5</v>
      </c>
      <c r="B9" s="13" t="s">
        <v>853</v>
      </c>
      <c r="C9" s="14">
        <v>460</v>
      </c>
      <c r="D9" s="15">
        <v>0.25555555555555554</v>
      </c>
      <c r="E9" s="14">
        <v>2</v>
      </c>
      <c r="F9" s="14">
        <v>53.240697777777775</v>
      </c>
      <c r="G9" s="14">
        <v>0</v>
      </c>
      <c r="H9" s="14">
        <v>7.54347021484375</v>
      </c>
      <c r="I9" s="14">
        <v>8.20601411740246</v>
      </c>
      <c r="J9" s="14">
        <v>68.990182110024</v>
      </c>
      <c r="K9" s="16"/>
      <c r="L9" s="17"/>
      <c r="N9" s="14">
        <v>180</v>
      </c>
      <c r="O9" s="15">
        <v>0.1</v>
      </c>
      <c r="P9" s="14">
        <v>0</v>
      </c>
      <c r="Q9" s="14">
        <v>20.86113333333333</v>
      </c>
      <c r="R9" s="14">
        <v>0</v>
      </c>
      <c r="S9" s="14">
        <v>0</v>
      </c>
      <c r="T9" s="14">
        <v>2.0861133644188445</v>
      </c>
      <c r="U9" s="14">
        <v>22.947246697752178</v>
      </c>
      <c r="V9" s="16">
        <v>0.3326161200901952</v>
      </c>
      <c r="W9" s="17"/>
      <c r="Y9" s="14">
        <v>180</v>
      </c>
      <c r="Z9" s="15">
        <v>0.1</v>
      </c>
      <c r="AA9" s="14">
        <v>2</v>
      </c>
      <c r="AB9" s="14">
        <v>20.86113333333333</v>
      </c>
      <c r="AC9" s="14">
        <v>0</v>
      </c>
      <c r="AD9" s="14">
        <v>7.54347021484375</v>
      </c>
      <c r="AE9" s="14">
        <v>5.680920794287732</v>
      </c>
      <c r="AF9" s="14">
        <v>34.085524342464815</v>
      </c>
      <c r="AG9" s="16">
        <v>0.4940634058351373</v>
      </c>
      <c r="AH9" s="17"/>
      <c r="AJ9" s="14">
        <v>60</v>
      </c>
      <c r="AK9" s="15">
        <v>0.03333333333333333</v>
      </c>
      <c r="AL9" s="14">
        <v>0</v>
      </c>
      <c r="AM9" s="14">
        <v>6.953711111111112</v>
      </c>
      <c r="AN9" s="14">
        <v>0</v>
      </c>
      <c r="AO9" s="14">
        <v>0</v>
      </c>
      <c r="AP9" s="14">
        <v>0.3476855607364741</v>
      </c>
      <c r="AQ9" s="14">
        <v>7.301396671847586</v>
      </c>
      <c r="AR9" s="16">
        <v>0.1058324017786108</v>
      </c>
      <c r="AS9" s="17"/>
      <c r="AU9" s="14">
        <v>40</v>
      </c>
      <c r="AV9" s="15">
        <v>0.022222222222222223</v>
      </c>
      <c r="AW9" s="14">
        <v>0</v>
      </c>
      <c r="AX9" s="14">
        <v>4.56472</v>
      </c>
      <c r="AY9" s="14">
        <v>0</v>
      </c>
      <c r="AZ9" s="14">
        <v>0</v>
      </c>
      <c r="BA9" s="14">
        <v>0.09129439795941115</v>
      </c>
      <c r="BB9" s="14">
        <v>4.656014397959411</v>
      </c>
      <c r="BC9" s="16">
        <v>0.06748807229605662</v>
      </c>
      <c r="BD9" s="17"/>
    </row>
    <row r="10" spans="1:56" ht="12.75">
      <c r="A10" s="13">
        <v>2.6</v>
      </c>
      <c r="B10" s="13" t="s">
        <v>854</v>
      </c>
      <c r="C10" s="14">
        <v>3544</v>
      </c>
      <c r="D10" s="15">
        <v>1.968888888888889</v>
      </c>
      <c r="E10" s="14">
        <v>104</v>
      </c>
      <c r="F10" s="14">
        <v>376.1531244444444</v>
      </c>
      <c r="G10" s="14">
        <v>0</v>
      </c>
      <c r="H10" s="14">
        <v>382.627685546875</v>
      </c>
      <c r="I10" s="14">
        <v>69.39436533701024</v>
      </c>
      <c r="J10" s="14">
        <v>828.1751753283297</v>
      </c>
      <c r="K10" s="16"/>
      <c r="L10" s="17"/>
      <c r="N10" s="14">
        <v>456</v>
      </c>
      <c r="O10" s="15">
        <v>0.25333333333333335</v>
      </c>
      <c r="P10" s="14">
        <v>13</v>
      </c>
      <c r="Q10" s="14">
        <v>48.23683111111111</v>
      </c>
      <c r="R10" s="14">
        <v>0</v>
      </c>
      <c r="S10" s="14">
        <v>32.725615234375</v>
      </c>
      <c r="T10" s="14">
        <v>4.048122377596028</v>
      </c>
      <c r="U10" s="14">
        <v>85.01056872308214</v>
      </c>
      <c r="V10" s="16">
        <v>0.10264805231499452</v>
      </c>
      <c r="W10" s="17"/>
      <c r="Y10" s="14">
        <v>548</v>
      </c>
      <c r="Z10" s="15">
        <v>0.30444444444444446</v>
      </c>
      <c r="AA10" s="14">
        <v>16</v>
      </c>
      <c r="AB10" s="14">
        <v>57.94227111111111</v>
      </c>
      <c r="AC10" s="14">
        <v>0</v>
      </c>
      <c r="AD10" s="14">
        <v>63.8374296875</v>
      </c>
      <c r="AE10" s="14">
        <v>9.742375846129814</v>
      </c>
      <c r="AF10" s="14">
        <v>131.52207664474093</v>
      </c>
      <c r="AG10" s="16">
        <v>0.15880948929989244</v>
      </c>
      <c r="AH10" s="17"/>
      <c r="AJ10" s="14">
        <v>1524</v>
      </c>
      <c r="AK10" s="15">
        <v>0.8466666666666667</v>
      </c>
      <c r="AL10" s="14">
        <v>43</v>
      </c>
      <c r="AM10" s="14">
        <v>161.98441333333332</v>
      </c>
      <c r="AN10" s="14">
        <v>0</v>
      </c>
      <c r="AO10" s="14">
        <v>158.38978125</v>
      </c>
      <c r="AP10" s="14">
        <v>32.03741993572808</v>
      </c>
      <c r="AQ10" s="14">
        <v>352.41161451906135</v>
      </c>
      <c r="AR10" s="16">
        <v>0.4255278653810746</v>
      </c>
      <c r="AS10" s="17"/>
      <c r="AU10" s="14">
        <v>1016</v>
      </c>
      <c r="AV10" s="15">
        <v>0.5644444444444444</v>
      </c>
      <c r="AW10" s="14">
        <v>32</v>
      </c>
      <c r="AX10" s="14">
        <v>107.9896088888889</v>
      </c>
      <c r="AY10" s="14">
        <v>0</v>
      </c>
      <c r="AZ10" s="14">
        <v>127.674859375</v>
      </c>
      <c r="BA10" s="14">
        <v>23.566447177556313</v>
      </c>
      <c r="BB10" s="14">
        <v>259.2309154414452</v>
      </c>
      <c r="BC10" s="16">
        <v>0.3130145930040383</v>
      </c>
      <c r="BD10" s="17"/>
    </row>
    <row r="11" spans="1:56" ht="12.75">
      <c r="A11" s="13">
        <v>2.7</v>
      </c>
      <c r="B11" s="13" t="s">
        <v>855</v>
      </c>
      <c r="C11" s="14">
        <v>20066</v>
      </c>
      <c r="D11" s="15">
        <v>11.147777777777778</v>
      </c>
      <c r="E11" s="14">
        <v>23</v>
      </c>
      <c r="F11" s="14">
        <v>1010.1489</v>
      </c>
      <c r="G11" s="14">
        <v>354.024</v>
      </c>
      <c r="H11" s="14">
        <v>66.96990673828125</v>
      </c>
      <c r="I11" s="14">
        <v>123.00225937063377</v>
      </c>
      <c r="J11" s="14">
        <v>1554.145066108915</v>
      </c>
      <c r="K11" s="16"/>
      <c r="L11" s="17"/>
      <c r="N11" s="14">
        <v>3361</v>
      </c>
      <c r="O11" s="15">
        <v>1.8672222222222221</v>
      </c>
      <c r="P11" s="14">
        <v>4</v>
      </c>
      <c r="Q11" s="14">
        <v>165.58855555555556</v>
      </c>
      <c r="R11" s="14">
        <v>59.171</v>
      </c>
      <c r="S11" s="14">
        <v>11.6469404296875</v>
      </c>
      <c r="T11" s="14">
        <v>18.912519256091688</v>
      </c>
      <c r="U11" s="14">
        <v>255.31901524133474</v>
      </c>
      <c r="V11" s="16">
        <v>0.16428261480157214</v>
      </c>
      <c r="W11" s="17"/>
      <c r="Y11" s="14">
        <v>3990</v>
      </c>
      <c r="Z11" s="15">
        <v>2.216666666666667</v>
      </c>
      <c r="AA11" s="14">
        <v>5</v>
      </c>
      <c r="AB11" s="14">
        <v>191.67797777777773</v>
      </c>
      <c r="AC11" s="14">
        <v>105.785</v>
      </c>
      <c r="AD11" s="14">
        <v>14.55867578125</v>
      </c>
      <c r="AE11" s="14">
        <v>24.961731726784024</v>
      </c>
      <c r="AF11" s="14">
        <v>336.9833852858117</v>
      </c>
      <c r="AG11" s="16">
        <v>0.2168287842842824</v>
      </c>
      <c r="AH11" s="17"/>
      <c r="AJ11" s="14">
        <v>9250</v>
      </c>
      <c r="AK11" s="15">
        <v>5.138888888888889</v>
      </c>
      <c r="AL11" s="14">
        <v>12</v>
      </c>
      <c r="AM11" s="14">
        <v>483.16266666666667</v>
      </c>
      <c r="AN11" s="14">
        <v>181.742</v>
      </c>
      <c r="AO11" s="14">
        <v>34.9408203125</v>
      </c>
      <c r="AP11" s="14">
        <v>69.98454974076772</v>
      </c>
      <c r="AQ11" s="14">
        <v>769.8300367199345</v>
      </c>
      <c r="AR11" s="16">
        <v>0.4953398839706412</v>
      </c>
      <c r="AS11" s="17"/>
      <c r="AU11" s="14">
        <v>3465</v>
      </c>
      <c r="AV11" s="15">
        <v>1.925</v>
      </c>
      <c r="AW11" s="14">
        <v>2</v>
      </c>
      <c r="AX11" s="14">
        <v>169.71970000000002</v>
      </c>
      <c r="AY11" s="14">
        <v>7.326</v>
      </c>
      <c r="AZ11" s="14">
        <v>5.82347021484375</v>
      </c>
      <c r="BA11" s="14">
        <v>9.143458646990338</v>
      </c>
      <c r="BB11" s="14">
        <v>192.0126288618341</v>
      </c>
      <c r="BC11" s="16">
        <v>0.12354871694350428</v>
      </c>
      <c r="BD11" s="17"/>
    </row>
    <row r="12" spans="1:56" ht="12.75">
      <c r="A12" s="8">
        <v>3</v>
      </c>
      <c r="B12" s="9" t="s">
        <v>856</v>
      </c>
      <c r="C12" s="10"/>
      <c r="D12" s="10"/>
      <c r="E12" s="10"/>
      <c r="F12" s="10"/>
      <c r="G12" s="10"/>
      <c r="H12" s="10"/>
      <c r="I12" s="10"/>
      <c r="J12" s="10"/>
      <c r="K12" s="11">
        <v>0.06834673234317354</v>
      </c>
      <c r="L12" s="12">
        <v>2886.062095217276</v>
      </c>
      <c r="N12" s="10"/>
      <c r="O12" s="10"/>
      <c r="P12" s="10"/>
      <c r="Q12" s="10"/>
      <c r="R12" s="10"/>
      <c r="S12" s="10"/>
      <c r="T12" s="10"/>
      <c r="U12" s="10"/>
      <c r="V12" s="10"/>
      <c r="W12" s="12">
        <v>908.6678041410946</v>
      </c>
      <c r="Y12" s="10"/>
      <c r="Z12" s="10"/>
      <c r="AA12" s="10"/>
      <c r="AB12" s="10"/>
      <c r="AC12" s="10"/>
      <c r="AD12" s="10"/>
      <c r="AE12" s="10"/>
      <c r="AF12" s="10"/>
      <c r="AG12" s="10"/>
      <c r="AH12" s="12">
        <v>1186.0424357644579</v>
      </c>
      <c r="AJ12" s="10"/>
      <c r="AK12" s="10"/>
      <c r="AL12" s="10"/>
      <c r="AM12" s="10"/>
      <c r="AN12" s="10"/>
      <c r="AO12" s="10"/>
      <c r="AP12" s="10"/>
      <c r="AQ12" s="10"/>
      <c r="AR12" s="10"/>
      <c r="AS12" s="12">
        <v>553.8552800929428</v>
      </c>
      <c r="AU12" s="10"/>
      <c r="AV12" s="10"/>
      <c r="AW12" s="10"/>
      <c r="AX12" s="10"/>
      <c r="AY12" s="10"/>
      <c r="AZ12" s="10"/>
      <c r="BA12" s="10"/>
      <c r="BB12" s="10"/>
      <c r="BC12" s="10"/>
      <c r="BD12" s="12">
        <v>237.49657521878157</v>
      </c>
    </row>
    <row r="13" spans="1:55" ht="12.75">
      <c r="A13" s="13">
        <v>3.1</v>
      </c>
      <c r="B13" s="19" t="s">
        <v>857</v>
      </c>
      <c r="C13" s="20"/>
      <c r="D13" s="21"/>
      <c r="E13" s="20"/>
      <c r="F13" s="20"/>
      <c r="G13" s="20"/>
      <c r="H13" s="20"/>
      <c r="I13" s="20"/>
      <c r="J13" s="20"/>
      <c r="K13" s="22"/>
      <c r="N13" s="20"/>
      <c r="O13" s="21"/>
      <c r="P13" s="20"/>
      <c r="Q13" s="20"/>
      <c r="R13" s="20"/>
      <c r="S13" s="20"/>
      <c r="T13" s="20"/>
      <c r="U13" s="20"/>
      <c r="V13" s="22"/>
      <c r="Y13" s="20"/>
      <c r="Z13" s="21"/>
      <c r="AA13" s="20"/>
      <c r="AB13" s="20"/>
      <c r="AC13" s="20"/>
      <c r="AD13" s="20"/>
      <c r="AE13" s="20"/>
      <c r="AF13" s="20"/>
      <c r="AG13" s="22"/>
      <c r="AJ13" s="20"/>
      <c r="AK13" s="21"/>
      <c r="AL13" s="20"/>
      <c r="AM13" s="20"/>
      <c r="AN13" s="20"/>
      <c r="AO13" s="20"/>
      <c r="AP13" s="20"/>
      <c r="AQ13" s="20"/>
      <c r="AR13" s="22"/>
      <c r="AU13" s="20"/>
      <c r="AV13" s="21"/>
      <c r="AW13" s="20"/>
      <c r="AX13" s="20"/>
      <c r="AY13" s="20"/>
      <c r="AZ13" s="20"/>
      <c r="BA13" s="20"/>
      <c r="BB13" s="20"/>
      <c r="BC13" s="22"/>
    </row>
    <row r="14" spans="1:56" ht="12.75">
      <c r="A14" s="23" t="s">
        <v>858</v>
      </c>
      <c r="B14" s="13" t="s">
        <v>859</v>
      </c>
      <c r="C14" s="14">
        <v>3460</v>
      </c>
      <c r="D14" s="15">
        <v>1.9222222222222223</v>
      </c>
      <c r="E14" s="14">
        <v>17</v>
      </c>
      <c r="F14" s="14">
        <v>158.59352222222225</v>
      </c>
      <c r="G14" s="14">
        <v>2.016</v>
      </c>
      <c r="H14" s="14">
        <v>15.62243798828125</v>
      </c>
      <c r="I14" s="14">
        <v>12.336237267256461</v>
      </c>
      <c r="J14" s="14">
        <v>188.56819747775995</v>
      </c>
      <c r="K14" s="16"/>
      <c r="L14" s="17"/>
      <c r="N14" s="14">
        <v>2260</v>
      </c>
      <c r="O14" s="15">
        <v>1.2555555555555555</v>
      </c>
      <c r="P14" s="14">
        <v>5</v>
      </c>
      <c r="Q14" s="14">
        <v>108.4601888888889</v>
      </c>
      <c r="R14" s="14">
        <v>2.016</v>
      </c>
      <c r="S14" s="14">
        <v>4.59483447265625</v>
      </c>
      <c r="T14" s="14">
        <v>8.054971669601997</v>
      </c>
      <c r="U14" s="14">
        <v>123.12599503114714</v>
      </c>
      <c r="V14" s="16">
        <v>0.6529520708054115</v>
      </c>
      <c r="W14" s="17"/>
      <c r="Y14" s="14">
        <v>680</v>
      </c>
      <c r="Z14" s="15">
        <v>0.37777777777777777</v>
      </c>
      <c r="AA14" s="14">
        <v>6</v>
      </c>
      <c r="AB14" s="14">
        <v>28.40888888888889</v>
      </c>
      <c r="AC14" s="14">
        <v>0</v>
      </c>
      <c r="AD14" s="14">
        <v>5.5138017578125</v>
      </c>
      <c r="AE14" s="14">
        <v>2.374588355378847</v>
      </c>
      <c r="AF14" s="14">
        <v>36.29727900208024</v>
      </c>
      <c r="AG14" s="16">
        <v>0.19248886868296655</v>
      </c>
      <c r="AH14" s="17"/>
      <c r="AJ14" s="14">
        <v>520</v>
      </c>
      <c r="AK14" s="15">
        <v>0.28888888888888886</v>
      </c>
      <c r="AL14" s="14">
        <v>6</v>
      </c>
      <c r="AM14" s="14">
        <v>21.724444444444444</v>
      </c>
      <c r="AN14" s="14">
        <v>0</v>
      </c>
      <c r="AO14" s="14">
        <v>5.5138017578125</v>
      </c>
      <c r="AP14" s="14">
        <v>1.9066772422756162</v>
      </c>
      <c r="AQ14" s="14">
        <v>29.144923444532562</v>
      </c>
      <c r="AR14" s="16">
        <v>0.15455906051162185</v>
      </c>
      <c r="AS14" s="17"/>
      <c r="AU14" s="14">
        <v>0</v>
      </c>
      <c r="AV14" s="15">
        <v>0</v>
      </c>
      <c r="AW14" s="14">
        <v>0</v>
      </c>
      <c r="AX14" s="14">
        <v>0</v>
      </c>
      <c r="AY14" s="14">
        <v>0</v>
      </c>
      <c r="AZ14" s="14">
        <v>0</v>
      </c>
      <c r="BA14" s="14">
        <v>0</v>
      </c>
      <c r="BB14" s="14">
        <v>0</v>
      </c>
      <c r="BC14" s="16">
        <v>0</v>
      </c>
      <c r="BD14" s="17"/>
    </row>
    <row r="15" spans="1:56" ht="12.75">
      <c r="A15" s="23" t="s">
        <v>860</v>
      </c>
      <c r="B15" s="13" t="s">
        <v>861</v>
      </c>
      <c r="C15" s="14">
        <v>1800</v>
      </c>
      <c r="D15" s="15">
        <v>1</v>
      </c>
      <c r="E15" s="14">
        <v>0</v>
      </c>
      <c r="F15" s="14">
        <v>100.77598888888889</v>
      </c>
      <c r="G15" s="14">
        <v>0</v>
      </c>
      <c r="H15" s="14">
        <v>0</v>
      </c>
      <c r="I15" s="14">
        <v>19.248710431488686</v>
      </c>
      <c r="J15" s="14">
        <v>120.02469932037758</v>
      </c>
      <c r="K15" s="16"/>
      <c r="L15" s="17"/>
      <c r="N15" s="14">
        <v>420</v>
      </c>
      <c r="O15" s="15">
        <v>0.23333333333333334</v>
      </c>
      <c r="P15" s="14">
        <v>0</v>
      </c>
      <c r="Q15" s="14">
        <v>22.47697777777778</v>
      </c>
      <c r="R15" s="14">
        <v>0</v>
      </c>
      <c r="S15" s="14">
        <v>0</v>
      </c>
      <c r="T15" s="14">
        <v>2.0229280803839367</v>
      </c>
      <c r="U15" s="14">
        <v>24.499905858161718</v>
      </c>
      <c r="V15" s="16">
        <v>0.2041238678112828</v>
      </c>
      <c r="W15" s="17"/>
      <c r="Y15" s="14">
        <v>920</v>
      </c>
      <c r="Z15" s="15">
        <v>0.5111111111111111</v>
      </c>
      <c r="AA15" s="14">
        <v>0</v>
      </c>
      <c r="AB15" s="14">
        <v>50.453188888888896</v>
      </c>
      <c r="AC15" s="14">
        <v>0</v>
      </c>
      <c r="AD15" s="14">
        <v>0</v>
      </c>
      <c r="AE15" s="14">
        <v>11.099701495410669</v>
      </c>
      <c r="AF15" s="14">
        <v>61.552890384299566</v>
      </c>
      <c r="AG15" s="16">
        <v>0.5128351975287908</v>
      </c>
      <c r="AH15" s="17"/>
      <c r="AJ15" s="14">
        <v>300</v>
      </c>
      <c r="AK15" s="15">
        <v>0.16666666666666666</v>
      </c>
      <c r="AL15" s="14">
        <v>0</v>
      </c>
      <c r="AM15" s="14">
        <v>21.161377777777776</v>
      </c>
      <c r="AN15" s="14">
        <v>0</v>
      </c>
      <c r="AO15" s="14">
        <v>0</v>
      </c>
      <c r="AP15" s="14">
        <v>4.655503085884782</v>
      </c>
      <c r="AQ15" s="14">
        <v>25.816880863662558</v>
      </c>
      <c r="AR15" s="16">
        <v>0.21509640107283662</v>
      </c>
      <c r="AS15" s="17"/>
      <c r="AU15" s="14">
        <v>160</v>
      </c>
      <c r="AV15" s="15">
        <v>0.08888888888888889</v>
      </c>
      <c r="AW15" s="14">
        <v>0</v>
      </c>
      <c r="AX15" s="14">
        <v>6.684444444444444</v>
      </c>
      <c r="AY15" s="14">
        <v>0</v>
      </c>
      <c r="AZ15" s="14">
        <v>0</v>
      </c>
      <c r="BA15" s="14">
        <v>1.470577769809299</v>
      </c>
      <c r="BB15" s="14">
        <v>8.155022214253743</v>
      </c>
      <c r="BC15" s="16">
        <v>0.06794453358708975</v>
      </c>
      <c r="BD15" s="17"/>
    </row>
    <row r="16" spans="1:56" ht="12.75">
      <c r="A16" s="23" t="s">
        <v>862</v>
      </c>
      <c r="B16" s="13" t="s">
        <v>863</v>
      </c>
      <c r="C16" s="14">
        <v>670</v>
      </c>
      <c r="D16" s="15">
        <v>0.37222222222222223</v>
      </c>
      <c r="E16" s="14">
        <v>22</v>
      </c>
      <c r="F16" s="14">
        <v>27.99111111111111</v>
      </c>
      <c r="G16" s="14">
        <v>0</v>
      </c>
      <c r="H16" s="14">
        <v>32.33111328125</v>
      </c>
      <c r="I16" s="14">
        <v>10.624045228179309</v>
      </c>
      <c r="J16" s="14">
        <v>70.94626962054042</v>
      </c>
      <c r="K16" s="16"/>
      <c r="L16" s="17"/>
      <c r="N16" s="14">
        <v>130</v>
      </c>
      <c r="O16" s="15">
        <v>0.07222222222222222</v>
      </c>
      <c r="P16" s="14">
        <v>7</v>
      </c>
      <c r="Q16" s="14">
        <v>5.431111111111111</v>
      </c>
      <c r="R16" s="14">
        <v>0</v>
      </c>
      <c r="S16" s="14">
        <v>11.2783046875</v>
      </c>
      <c r="T16" s="14">
        <v>3.0076949632650547</v>
      </c>
      <c r="U16" s="14">
        <v>19.717110761876167</v>
      </c>
      <c r="V16" s="16">
        <v>0.27791610281039575</v>
      </c>
      <c r="W16" s="17"/>
      <c r="Y16" s="14">
        <v>180</v>
      </c>
      <c r="Z16" s="15">
        <v>0.1</v>
      </c>
      <c r="AA16" s="14">
        <v>8</v>
      </c>
      <c r="AB16" s="14">
        <v>7.52</v>
      </c>
      <c r="AC16" s="14">
        <v>0</v>
      </c>
      <c r="AD16" s="14">
        <v>12.197271484375</v>
      </c>
      <c r="AE16" s="14">
        <v>3.5491090082164156</v>
      </c>
      <c r="AF16" s="14">
        <v>23.266380492591413</v>
      </c>
      <c r="AG16" s="16">
        <v>0.32794367648972644</v>
      </c>
      <c r="AH16" s="17"/>
      <c r="AJ16" s="14">
        <v>220</v>
      </c>
      <c r="AK16" s="15">
        <v>0.12222222222222222</v>
      </c>
      <c r="AL16" s="14">
        <v>7</v>
      </c>
      <c r="AM16" s="14">
        <v>9.19111111111111</v>
      </c>
      <c r="AN16" s="14">
        <v>0</v>
      </c>
      <c r="AO16" s="14">
        <v>8.855537109375</v>
      </c>
      <c r="AP16" s="14">
        <v>3.2483968087671866</v>
      </c>
      <c r="AQ16" s="14">
        <v>21.2950450292533</v>
      </c>
      <c r="AR16" s="16">
        <v>0.30015736053707803</v>
      </c>
      <c r="AS16" s="17"/>
      <c r="AU16" s="14">
        <v>140</v>
      </c>
      <c r="AV16" s="15">
        <v>0.07777777777777778</v>
      </c>
      <c r="AW16" s="14">
        <v>0</v>
      </c>
      <c r="AX16" s="14">
        <v>5.848888888888888</v>
      </c>
      <c r="AY16" s="14">
        <v>0</v>
      </c>
      <c r="AZ16" s="14">
        <v>0</v>
      </c>
      <c r="BA16" s="14">
        <v>0.8188444479306538</v>
      </c>
      <c r="BB16" s="14">
        <v>6.667733336819542</v>
      </c>
      <c r="BC16" s="16">
        <v>0.0939828601627998</v>
      </c>
      <c r="BD16" s="17"/>
    </row>
    <row r="17" spans="1:56" ht="12.75">
      <c r="A17" s="23" t="s">
        <v>864</v>
      </c>
      <c r="B17" s="13" t="s">
        <v>865</v>
      </c>
      <c r="C17" s="14">
        <v>312</v>
      </c>
      <c r="D17" s="15">
        <v>0.17333333333333334</v>
      </c>
      <c r="E17" s="14">
        <v>12</v>
      </c>
      <c r="F17" s="14">
        <v>13.034666666666666</v>
      </c>
      <c r="G17" s="14">
        <v>0</v>
      </c>
      <c r="H17" s="14">
        <v>65.59883203125</v>
      </c>
      <c r="I17" s="14">
        <v>4.7180098164192605</v>
      </c>
      <c r="J17" s="14">
        <v>83.35150851433592</v>
      </c>
      <c r="K17" s="16"/>
      <c r="L17" s="17"/>
      <c r="N17" s="14">
        <v>104</v>
      </c>
      <c r="O17" s="15">
        <v>0.057777777777777775</v>
      </c>
      <c r="P17" s="14">
        <v>4</v>
      </c>
      <c r="Q17" s="14">
        <v>4.344888888888889</v>
      </c>
      <c r="R17" s="14">
        <v>0</v>
      </c>
      <c r="S17" s="14">
        <v>21.86627734375</v>
      </c>
      <c r="T17" s="14">
        <v>1.5726699388064203</v>
      </c>
      <c r="U17" s="14">
        <v>27.78383617144531</v>
      </c>
      <c r="V17" s="16">
        <v>0.33333333333333337</v>
      </c>
      <c r="W17" s="17"/>
      <c r="Y17" s="14">
        <v>104</v>
      </c>
      <c r="Z17" s="15">
        <v>0.057777777777777775</v>
      </c>
      <c r="AA17" s="14">
        <v>4</v>
      </c>
      <c r="AB17" s="14">
        <v>4.344888888888889</v>
      </c>
      <c r="AC17" s="14">
        <v>0</v>
      </c>
      <c r="AD17" s="14">
        <v>21.86627734375</v>
      </c>
      <c r="AE17" s="14">
        <v>1.5726699388064203</v>
      </c>
      <c r="AF17" s="14">
        <v>27.78383617144531</v>
      </c>
      <c r="AG17" s="16">
        <v>0.33333333333333337</v>
      </c>
      <c r="AH17" s="17"/>
      <c r="AJ17" s="14">
        <v>104</v>
      </c>
      <c r="AK17" s="15">
        <v>0.057777777777777775</v>
      </c>
      <c r="AL17" s="14">
        <v>4</v>
      </c>
      <c r="AM17" s="14">
        <v>4.344888888888889</v>
      </c>
      <c r="AN17" s="14">
        <v>0</v>
      </c>
      <c r="AO17" s="14">
        <v>21.86627734375</v>
      </c>
      <c r="AP17" s="14">
        <v>1.5726699388064203</v>
      </c>
      <c r="AQ17" s="14">
        <v>27.78383617144531</v>
      </c>
      <c r="AR17" s="16">
        <v>0.33333333333333337</v>
      </c>
      <c r="AS17" s="17"/>
      <c r="AU17" s="14">
        <v>0</v>
      </c>
      <c r="AV17" s="15">
        <v>0</v>
      </c>
      <c r="AW17" s="14">
        <v>0</v>
      </c>
      <c r="AX17" s="14">
        <v>0</v>
      </c>
      <c r="AY17" s="14">
        <v>0</v>
      </c>
      <c r="AZ17" s="14">
        <v>0</v>
      </c>
      <c r="BA17" s="14">
        <v>0</v>
      </c>
      <c r="BB17" s="14">
        <v>0</v>
      </c>
      <c r="BC17" s="16">
        <v>0</v>
      </c>
      <c r="BD17" s="17"/>
    </row>
    <row r="18" spans="1:56" ht="12.75">
      <c r="A18" s="23" t="s">
        <v>866</v>
      </c>
      <c r="B18" s="13" t="s">
        <v>867</v>
      </c>
      <c r="C18" s="14">
        <v>280</v>
      </c>
      <c r="D18" s="15">
        <v>0.15555555555555556</v>
      </c>
      <c r="E18" s="14">
        <v>8</v>
      </c>
      <c r="F18" s="14">
        <v>11.697777777777777</v>
      </c>
      <c r="G18" s="14">
        <v>0</v>
      </c>
      <c r="H18" s="14">
        <v>7.3517353515625</v>
      </c>
      <c r="I18" s="14">
        <v>1.1429707622130287</v>
      </c>
      <c r="J18" s="14">
        <v>20.192483891553305</v>
      </c>
      <c r="K18" s="16"/>
      <c r="L18" s="17"/>
      <c r="N18" s="14">
        <v>70</v>
      </c>
      <c r="O18" s="15">
        <v>0.03888888888888889</v>
      </c>
      <c r="P18" s="14">
        <v>2</v>
      </c>
      <c r="Q18" s="14">
        <v>2.924444444444444</v>
      </c>
      <c r="R18" s="14">
        <v>0</v>
      </c>
      <c r="S18" s="14">
        <v>1.837933837890625</v>
      </c>
      <c r="T18" s="14">
        <v>0.2857426905532572</v>
      </c>
      <c r="U18" s="14">
        <v>5.048120972888326</v>
      </c>
      <c r="V18" s="16">
        <v>0.25</v>
      </c>
      <c r="W18" s="17"/>
      <c r="Y18" s="14">
        <v>70</v>
      </c>
      <c r="Z18" s="15">
        <v>0.03888888888888889</v>
      </c>
      <c r="AA18" s="14">
        <v>2</v>
      </c>
      <c r="AB18" s="14">
        <v>2.924444444444444</v>
      </c>
      <c r="AC18" s="14">
        <v>0</v>
      </c>
      <c r="AD18" s="14">
        <v>1.837933837890625</v>
      </c>
      <c r="AE18" s="14">
        <v>0.2857426905532572</v>
      </c>
      <c r="AF18" s="14">
        <v>5.048120972888326</v>
      </c>
      <c r="AG18" s="16">
        <v>0.25</v>
      </c>
      <c r="AH18" s="17"/>
      <c r="AJ18" s="14">
        <v>70</v>
      </c>
      <c r="AK18" s="15">
        <v>0.03888888888888889</v>
      </c>
      <c r="AL18" s="14">
        <v>2</v>
      </c>
      <c r="AM18" s="14">
        <v>2.924444444444444</v>
      </c>
      <c r="AN18" s="14">
        <v>0</v>
      </c>
      <c r="AO18" s="14">
        <v>1.837933837890625</v>
      </c>
      <c r="AP18" s="14">
        <v>0.2857426905532572</v>
      </c>
      <c r="AQ18" s="14">
        <v>5.048120972888326</v>
      </c>
      <c r="AR18" s="16">
        <v>0.25</v>
      </c>
      <c r="AS18" s="17"/>
      <c r="AU18" s="14">
        <v>70</v>
      </c>
      <c r="AV18" s="15">
        <v>0.03888888888888889</v>
      </c>
      <c r="AW18" s="14">
        <v>2</v>
      </c>
      <c r="AX18" s="14">
        <v>2.924444444444444</v>
      </c>
      <c r="AY18" s="14">
        <v>0</v>
      </c>
      <c r="AZ18" s="14">
        <v>1.837933837890625</v>
      </c>
      <c r="BA18" s="14">
        <v>0.2857426905532572</v>
      </c>
      <c r="BB18" s="14">
        <v>5.048120972888326</v>
      </c>
      <c r="BC18" s="16">
        <v>0.25</v>
      </c>
      <c r="BD18" s="17"/>
    </row>
    <row r="19" spans="1:56" ht="12.75">
      <c r="A19" s="23" t="s">
        <v>868</v>
      </c>
      <c r="B19" s="13" t="s">
        <v>869</v>
      </c>
      <c r="C19" s="14">
        <v>640</v>
      </c>
      <c r="D19" s="15">
        <v>0.35555555555555557</v>
      </c>
      <c r="E19" s="14">
        <v>32</v>
      </c>
      <c r="F19" s="14">
        <v>31.66808888888889</v>
      </c>
      <c r="G19" s="14">
        <v>0</v>
      </c>
      <c r="H19" s="14">
        <v>29.40694140625</v>
      </c>
      <c r="I19" s="14">
        <v>3.664501735800335</v>
      </c>
      <c r="J19" s="14">
        <v>64.73953203093922</v>
      </c>
      <c r="K19" s="16"/>
      <c r="L19" s="17"/>
      <c r="N19" s="14">
        <v>160</v>
      </c>
      <c r="O19" s="15">
        <v>0.08888888888888889</v>
      </c>
      <c r="P19" s="14">
        <v>8</v>
      </c>
      <c r="Q19" s="14">
        <v>7.917022222222222</v>
      </c>
      <c r="R19" s="14">
        <v>0</v>
      </c>
      <c r="S19" s="14">
        <v>7.3517353515625</v>
      </c>
      <c r="T19" s="14">
        <v>0.9161254339500837</v>
      </c>
      <c r="U19" s="14">
        <v>16.184883007734804</v>
      </c>
      <c r="V19" s="16">
        <v>0.25</v>
      </c>
      <c r="W19" s="17"/>
      <c r="Y19" s="14">
        <v>160</v>
      </c>
      <c r="Z19" s="15">
        <v>0.08888888888888889</v>
      </c>
      <c r="AA19" s="14">
        <v>8</v>
      </c>
      <c r="AB19" s="14">
        <v>7.917022222222222</v>
      </c>
      <c r="AC19" s="14">
        <v>0</v>
      </c>
      <c r="AD19" s="14">
        <v>7.3517353515625</v>
      </c>
      <c r="AE19" s="14">
        <v>0.9161254339500837</v>
      </c>
      <c r="AF19" s="14">
        <v>16.184883007734804</v>
      </c>
      <c r="AG19" s="16">
        <v>0.25</v>
      </c>
      <c r="AH19" s="17"/>
      <c r="AJ19" s="14">
        <v>160</v>
      </c>
      <c r="AK19" s="15">
        <v>0.08888888888888889</v>
      </c>
      <c r="AL19" s="14">
        <v>8</v>
      </c>
      <c r="AM19" s="14">
        <v>7.917022222222222</v>
      </c>
      <c r="AN19" s="14">
        <v>0</v>
      </c>
      <c r="AO19" s="14">
        <v>7.3517353515625</v>
      </c>
      <c r="AP19" s="14">
        <v>0.9161254339500837</v>
      </c>
      <c r="AQ19" s="14">
        <v>16.184883007734804</v>
      </c>
      <c r="AR19" s="16">
        <v>0.25</v>
      </c>
      <c r="AS19" s="17"/>
      <c r="AU19" s="14">
        <v>160</v>
      </c>
      <c r="AV19" s="15">
        <v>0.08888888888888889</v>
      </c>
      <c r="AW19" s="14">
        <v>8</v>
      </c>
      <c r="AX19" s="14">
        <v>7.917022222222222</v>
      </c>
      <c r="AY19" s="14">
        <v>0</v>
      </c>
      <c r="AZ19" s="14">
        <v>7.3517353515625</v>
      </c>
      <c r="BA19" s="14">
        <v>0.9161254339500837</v>
      </c>
      <c r="BB19" s="14">
        <v>16.184883007734804</v>
      </c>
      <c r="BC19" s="16">
        <v>0.25</v>
      </c>
      <c r="BD19" s="17"/>
    </row>
    <row r="20" spans="1:56" ht="12.75">
      <c r="A20" s="13">
        <v>3.2</v>
      </c>
      <c r="B20" s="13" t="s">
        <v>870</v>
      </c>
      <c r="C20" s="14">
        <v>3699</v>
      </c>
      <c r="D20" s="15">
        <v>2.055</v>
      </c>
      <c r="E20" s="14">
        <v>0</v>
      </c>
      <c r="F20" s="14">
        <v>286.3904077777778</v>
      </c>
      <c r="G20" s="14">
        <v>0</v>
      </c>
      <c r="H20" s="14">
        <v>0</v>
      </c>
      <c r="I20" s="14">
        <v>22.911232110116266</v>
      </c>
      <c r="J20" s="14">
        <v>309.30163988789405</v>
      </c>
      <c r="K20" s="16"/>
      <c r="L20" s="17"/>
      <c r="N20" s="14">
        <v>1094</v>
      </c>
      <c r="O20" s="15">
        <v>0.6077777777777778</v>
      </c>
      <c r="P20" s="14">
        <v>0</v>
      </c>
      <c r="Q20" s="14">
        <v>83.50086888888889</v>
      </c>
      <c r="R20" s="14">
        <v>0</v>
      </c>
      <c r="S20" s="14">
        <v>0</v>
      </c>
      <c r="T20" s="14">
        <v>6.680069361799922</v>
      </c>
      <c r="U20" s="14">
        <v>90.18093825068881</v>
      </c>
      <c r="V20" s="16">
        <v>0.2915630783056138</v>
      </c>
      <c r="W20" s="17"/>
      <c r="Y20" s="14">
        <v>990</v>
      </c>
      <c r="Z20" s="15">
        <v>0.55</v>
      </c>
      <c r="AA20" s="14">
        <v>0</v>
      </c>
      <c r="AB20" s="14">
        <v>75.69596666666668</v>
      </c>
      <c r="AC20" s="14">
        <v>0</v>
      </c>
      <c r="AD20" s="14">
        <v>0</v>
      </c>
      <c r="AE20" s="14">
        <v>6.055677197978398</v>
      </c>
      <c r="AF20" s="14">
        <v>81.75164386464508</v>
      </c>
      <c r="AG20" s="16">
        <v>0.26431041197930877</v>
      </c>
      <c r="AH20" s="17"/>
      <c r="AJ20" s="14">
        <v>1135</v>
      </c>
      <c r="AK20" s="15">
        <v>0.6305555555555555</v>
      </c>
      <c r="AL20" s="14">
        <v>0</v>
      </c>
      <c r="AM20" s="14">
        <v>90.05150555555555</v>
      </c>
      <c r="AN20" s="14">
        <v>0</v>
      </c>
      <c r="AO20" s="14">
        <v>0</v>
      </c>
      <c r="AP20" s="14">
        <v>7.204120283419804</v>
      </c>
      <c r="AQ20" s="14">
        <v>97.25562583897535</v>
      </c>
      <c r="AR20" s="16">
        <v>0.31443617911054567</v>
      </c>
      <c r="AS20" s="17"/>
      <c r="AU20" s="14">
        <v>480</v>
      </c>
      <c r="AV20" s="15">
        <v>0.26666666666666666</v>
      </c>
      <c r="AW20" s="14">
        <v>0</v>
      </c>
      <c r="AX20" s="14">
        <v>37.142066666666665</v>
      </c>
      <c r="AY20" s="14">
        <v>0</v>
      </c>
      <c r="AZ20" s="14">
        <v>0</v>
      </c>
      <c r="BA20" s="14">
        <v>2.9713652669181423</v>
      </c>
      <c r="BB20" s="14">
        <v>40.113431933584806</v>
      </c>
      <c r="BC20" s="16">
        <v>0.12969033060453175</v>
      </c>
      <c r="BD20" s="17"/>
    </row>
    <row r="21" spans="1:56" ht="12.75">
      <c r="A21" s="13">
        <v>3.3</v>
      </c>
      <c r="B21" s="13" t="s">
        <v>871</v>
      </c>
      <c r="C21" s="17"/>
      <c r="D21" s="17"/>
      <c r="E21" s="17"/>
      <c r="F21" s="17"/>
      <c r="G21" s="17"/>
      <c r="H21" s="17"/>
      <c r="I21" s="17"/>
      <c r="J21" s="17"/>
      <c r="K21" s="16"/>
      <c r="L21" s="17"/>
      <c r="N21" s="17"/>
      <c r="O21" s="17"/>
      <c r="P21" s="17"/>
      <c r="Q21" s="17"/>
      <c r="R21" s="17"/>
      <c r="S21" s="17"/>
      <c r="T21" s="17"/>
      <c r="U21" s="17"/>
      <c r="V21" s="16"/>
      <c r="W21" s="17"/>
      <c r="Y21" s="17"/>
      <c r="Z21" s="17"/>
      <c r="AA21" s="17"/>
      <c r="AB21" s="17"/>
      <c r="AC21" s="17"/>
      <c r="AD21" s="17"/>
      <c r="AE21" s="17"/>
      <c r="AF21" s="17"/>
      <c r="AG21" s="16"/>
      <c r="AH21" s="17"/>
      <c r="AJ21" s="17"/>
      <c r="AK21" s="17"/>
      <c r="AL21" s="17"/>
      <c r="AM21" s="17"/>
      <c r="AN21" s="17"/>
      <c r="AO21" s="17"/>
      <c r="AP21" s="17"/>
      <c r="AQ21" s="17"/>
      <c r="AR21" s="16"/>
      <c r="AS21" s="17"/>
      <c r="AU21" s="17"/>
      <c r="AV21" s="17"/>
      <c r="AW21" s="17"/>
      <c r="AX21" s="17"/>
      <c r="AY21" s="17"/>
      <c r="AZ21" s="17"/>
      <c r="BA21" s="17"/>
      <c r="BB21" s="17"/>
      <c r="BC21" s="16"/>
      <c r="BD21" s="17"/>
    </row>
    <row r="22" spans="1:56" ht="12.75">
      <c r="A22" s="23" t="s">
        <v>872</v>
      </c>
      <c r="B22" s="13" t="s">
        <v>873</v>
      </c>
      <c r="C22" s="14">
        <v>2800</v>
      </c>
      <c r="D22" s="15">
        <v>1.5555555555555556</v>
      </c>
      <c r="E22" s="14">
        <v>13</v>
      </c>
      <c r="F22" s="14">
        <v>284.40844444444446</v>
      </c>
      <c r="G22" s="14">
        <v>0</v>
      </c>
      <c r="H22" s="14">
        <v>11.946570068359375</v>
      </c>
      <c r="I22" s="14">
        <v>66.47382114791368</v>
      </c>
      <c r="J22" s="14">
        <v>362.8288356607175</v>
      </c>
      <c r="K22" s="16"/>
      <c r="L22" s="17"/>
      <c r="N22" s="14">
        <v>748</v>
      </c>
      <c r="O22" s="15">
        <v>0.41555555555555557</v>
      </c>
      <c r="P22" s="14">
        <v>4</v>
      </c>
      <c r="Q22" s="14">
        <v>81.74204888888889</v>
      </c>
      <c r="R22" s="14">
        <v>0</v>
      </c>
      <c r="S22" s="14">
        <v>3.67586767578125</v>
      </c>
      <c r="T22" s="14">
        <v>17.083583567499257</v>
      </c>
      <c r="U22" s="14">
        <v>102.5015001321694</v>
      </c>
      <c r="V22" s="16">
        <v>0.2825064880676102</v>
      </c>
      <c r="W22" s="17"/>
      <c r="Y22" s="14">
        <v>1120</v>
      </c>
      <c r="Z22" s="15">
        <v>0.6222222222222222</v>
      </c>
      <c r="AA22" s="14">
        <v>4</v>
      </c>
      <c r="AB22" s="14">
        <v>109.28248888888888</v>
      </c>
      <c r="AC22" s="14">
        <v>0</v>
      </c>
      <c r="AD22" s="14">
        <v>3.67586767578125</v>
      </c>
      <c r="AE22" s="14">
        <v>28.23958914116753</v>
      </c>
      <c r="AF22" s="14">
        <v>141.19794570583767</v>
      </c>
      <c r="AG22" s="16">
        <v>0.3891585558482798</v>
      </c>
      <c r="AH22" s="17"/>
      <c r="AJ22" s="14">
        <v>620</v>
      </c>
      <c r="AK22" s="15">
        <v>0.34444444444444444</v>
      </c>
      <c r="AL22" s="14">
        <v>2</v>
      </c>
      <c r="AM22" s="14">
        <v>62.59366666666667</v>
      </c>
      <c r="AN22" s="14">
        <v>0</v>
      </c>
      <c r="AO22" s="14">
        <v>1.837933837890625</v>
      </c>
      <c r="AP22" s="14">
        <v>7.731791887727856</v>
      </c>
      <c r="AQ22" s="14">
        <v>72.16339239228515</v>
      </c>
      <c r="AR22" s="16">
        <v>0.19889100672187307</v>
      </c>
      <c r="AS22" s="17"/>
      <c r="AU22" s="14">
        <v>312</v>
      </c>
      <c r="AV22" s="15">
        <v>0.17333333333333334</v>
      </c>
      <c r="AW22" s="14">
        <v>3</v>
      </c>
      <c r="AX22" s="14">
        <v>30.790239999999997</v>
      </c>
      <c r="AY22" s="14">
        <v>0</v>
      </c>
      <c r="AZ22" s="14">
        <v>2.75690087890625</v>
      </c>
      <c r="BA22" s="14">
        <v>13.41885655151904</v>
      </c>
      <c r="BB22" s="14">
        <v>46.96599743042529</v>
      </c>
      <c r="BC22" s="16">
        <v>0.12944394936223688</v>
      </c>
      <c r="BD22" s="17"/>
    </row>
    <row r="23" spans="1:56" ht="12.75">
      <c r="A23" s="23" t="s">
        <v>874</v>
      </c>
      <c r="B23" s="13" t="s">
        <v>875</v>
      </c>
      <c r="C23" s="14">
        <v>2000</v>
      </c>
      <c r="D23" s="15">
        <v>1.1111111111111112</v>
      </c>
      <c r="E23" s="14">
        <v>14</v>
      </c>
      <c r="F23" s="14">
        <v>186.93555555555557</v>
      </c>
      <c r="G23" s="14">
        <v>0</v>
      </c>
      <c r="H23" s="14">
        <v>24.979377929687498</v>
      </c>
      <c r="I23" s="14">
        <v>66.945373532286</v>
      </c>
      <c r="J23" s="14">
        <v>278.86030701752907</v>
      </c>
      <c r="K23" s="16"/>
      <c r="L23" s="17"/>
      <c r="N23" s="14">
        <v>880</v>
      </c>
      <c r="O23" s="15">
        <v>0.4888888888888889</v>
      </c>
      <c r="P23" s="14">
        <v>4</v>
      </c>
      <c r="Q23" s="14">
        <v>80.58160000000001</v>
      </c>
      <c r="R23" s="14">
        <v>0</v>
      </c>
      <c r="S23" s="14">
        <v>8.521404296875</v>
      </c>
      <c r="T23" s="14">
        <v>17.820601124922646</v>
      </c>
      <c r="U23" s="14">
        <v>106.92360542179766</v>
      </c>
      <c r="V23" s="16">
        <v>0.3834307096817349</v>
      </c>
      <c r="W23" s="17"/>
      <c r="Y23" s="14">
        <v>760</v>
      </c>
      <c r="Z23" s="15">
        <v>0.4222222222222222</v>
      </c>
      <c r="AA23" s="14">
        <v>5</v>
      </c>
      <c r="AB23" s="14">
        <v>73.95808888888888</v>
      </c>
      <c r="AC23" s="14">
        <v>0</v>
      </c>
      <c r="AD23" s="14">
        <v>7.0176025390625</v>
      </c>
      <c r="AE23" s="14">
        <v>32.39027705383329</v>
      </c>
      <c r="AF23" s="14">
        <v>113.36596848178466</v>
      </c>
      <c r="AG23" s="16">
        <v>0.40653318392372895</v>
      </c>
      <c r="AH23" s="17"/>
      <c r="AJ23" s="14">
        <v>240</v>
      </c>
      <c r="AK23" s="15">
        <v>0.13333333333333333</v>
      </c>
      <c r="AL23" s="14">
        <v>3</v>
      </c>
      <c r="AM23" s="14">
        <v>20.55346666666667</v>
      </c>
      <c r="AN23" s="14">
        <v>0</v>
      </c>
      <c r="AO23" s="14">
        <v>5.1796689453125</v>
      </c>
      <c r="AP23" s="14">
        <v>10.293254398173106</v>
      </c>
      <c r="AQ23" s="14">
        <v>36.02639001015228</v>
      </c>
      <c r="AR23" s="16">
        <v>0.12919153104097986</v>
      </c>
      <c r="AS23" s="17"/>
      <c r="AU23" s="14">
        <v>120</v>
      </c>
      <c r="AV23" s="15">
        <v>0.06666666666666667</v>
      </c>
      <c r="AW23" s="14">
        <v>2</v>
      </c>
      <c r="AX23" s="14">
        <v>11.8424</v>
      </c>
      <c r="AY23" s="14">
        <v>0</v>
      </c>
      <c r="AZ23" s="14">
        <v>4.2607021484375</v>
      </c>
      <c r="BA23" s="14">
        <v>6.441240955356967</v>
      </c>
      <c r="BB23" s="14">
        <v>22.544343103794468</v>
      </c>
      <c r="BC23" s="16">
        <v>0.08084457535355628</v>
      </c>
      <c r="BD23" s="17"/>
    </row>
    <row r="24" spans="1:56" ht="12.75">
      <c r="A24" s="23" t="s">
        <v>876</v>
      </c>
      <c r="B24" s="13" t="s">
        <v>877</v>
      </c>
      <c r="C24" s="14">
        <v>1440</v>
      </c>
      <c r="D24" s="15">
        <v>0.8</v>
      </c>
      <c r="E24" s="14">
        <v>4</v>
      </c>
      <c r="F24" s="14">
        <v>112.19213333333333</v>
      </c>
      <c r="G24" s="14">
        <v>0</v>
      </c>
      <c r="H24" s="14">
        <v>11.80417236328125</v>
      </c>
      <c r="I24" s="14">
        <v>33.60457486797905</v>
      </c>
      <c r="J24" s="14">
        <v>157.60088056459364</v>
      </c>
      <c r="K24" s="16"/>
      <c r="L24" s="17"/>
      <c r="N24" s="14">
        <v>0</v>
      </c>
      <c r="O24" s="15">
        <v>0</v>
      </c>
      <c r="P24" s="14">
        <v>2</v>
      </c>
      <c r="Q24" s="14">
        <v>0</v>
      </c>
      <c r="R24" s="14">
        <v>0</v>
      </c>
      <c r="S24" s="14">
        <v>5.1207021484375</v>
      </c>
      <c r="T24" s="14">
        <v>0</v>
      </c>
      <c r="U24" s="14">
        <v>5.1207021484375</v>
      </c>
      <c r="V24" s="16">
        <v>0.03249158335976905</v>
      </c>
      <c r="W24" s="17"/>
      <c r="Y24" s="14">
        <v>1400</v>
      </c>
      <c r="Z24" s="15">
        <v>0.7777777777777778</v>
      </c>
      <c r="AA24" s="14">
        <v>2</v>
      </c>
      <c r="AB24" s="14">
        <v>109.28844444444444</v>
      </c>
      <c r="AC24" s="14">
        <v>0</v>
      </c>
      <c r="AD24" s="14">
        <v>6.68347021484375</v>
      </c>
      <c r="AE24" s="14">
        <v>32.47213624284999</v>
      </c>
      <c r="AF24" s="14">
        <v>148.44405090213817</v>
      </c>
      <c r="AG24" s="16">
        <v>0.9418986135759407</v>
      </c>
      <c r="AH24" s="17"/>
      <c r="AJ24" s="14">
        <v>40</v>
      </c>
      <c r="AK24" s="15">
        <v>0.022222222222222223</v>
      </c>
      <c r="AL24" s="14">
        <v>0</v>
      </c>
      <c r="AM24" s="14">
        <v>2.903688888888889</v>
      </c>
      <c r="AN24" s="14">
        <v>0</v>
      </c>
      <c r="AO24" s="14">
        <v>0</v>
      </c>
      <c r="AP24" s="14">
        <v>1.132438625129064</v>
      </c>
      <c r="AQ24" s="14">
        <v>4.036127514017953</v>
      </c>
      <c r="AR24" s="16">
        <v>0.025609803064290133</v>
      </c>
      <c r="AS24" s="17"/>
      <c r="AU24" s="14">
        <v>0</v>
      </c>
      <c r="AV24" s="15">
        <v>0</v>
      </c>
      <c r="AW24" s="14">
        <v>0</v>
      </c>
      <c r="AX24" s="14">
        <v>0</v>
      </c>
      <c r="AY24" s="14">
        <v>0</v>
      </c>
      <c r="AZ24" s="14">
        <v>0</v>
      </c>
      <c r="BA24" s="14">
        <v>0</v>
      </c>
      <c r="BB24" s="14">
        <v>0</v>
      </c>
      <c r="BC24" s="16">
        <v>0</v>
      </c>
      <c r="BD24" s="17"/>
    </row>
    <row r="25" spans="1:56" ht="12.75">
      <c r="A25" s="23">
        <v>3.4</v>
      </c>
      <c r="B25" s="13" t="s">
        <v>878</v>
      </c>
      <c r="C25" s="14"/>
      <c r="D25" s="15"/>
      <c r="E25" s="14"/>
      <c r="F25" s="14"/>
      <c r="G25" s="14"/>
      <c r="H25" s="14"/>
      <c r="I25" s="14"/>
      <c r="J25" s="14"/>
      <c r="K25" s="16"/>
      <c r="L25" s="17"/>
      <c r="N25" s="14"/>
      <c r="O25" s="15"/>
      <c r="P25" s="14"/>
      <c r="Q25" s="14"/>
      <c r="R25" s="14"/>
      <c r="S25" s="14"/>
      <c r="T25" s="14"/>
      <c r="U25" s="14"/>
      <c r="V25" s="16"/>
      <c r="W25" s="17"/>
      <c r="Y25" s="14"/>
      <c r="Z25" s="15"/>
      <c r="AA25" s="14"/>
      <c r="AB25" s="14"/>
      <c r="AC25" s="14"/>
      <c r="AD25" s="14"/>
      <c r="AE25" s="14"/>
      <c r="AF25" s="14"/>
      <c r="AG25" s="16"/>
      <c r="AH25" s="17"/>
      <c r="AJ25" s="14"/>
      <c r="AK25" s="15"/>
      <c r="AL25" s="14"/>
      <c r="AM25" s="14"/>
      <c r="AN25" s="14"/>
      <c r="AO25" s="14"/>
      <c r="AP25" s="14"/>
      <c r="AQ25" s="14"/>
      <c r="AR25" s="16"/>
      <c r="AS25" s="17"/>
      <c r="AU25" s="14"/>
      <c r="AV25" s="15"/>
      <c r="AW25" s="14"/>
      <c r="AX25" s="14"/>
      <c r="AY25" s="14"/>
      <c r="AZ25" s="14"/>
      <c r="BA25" s="14"/>
      <c r="BB25" s="14"/>
      <c r="BC25" s="16"/>
      <c r="BD25" s="17"/>
    </row>
    <row r="26" spans="1:56" ht="12.75">
      <c r="A26" s="23" t="s">
        <v>879</v>
      </c>
      <c r="B26" s="13" t="s">
        <v>880</v>
      </c>
      <c r="C26" s="14">
        <v>1016</v>
      </c>
      <c r="D26" s="15">
        <v>0.5644444444444444</v>
      </c>
      <c r="E26" s="14">
        <v>0</v>
      </c>
      <c r="F26" s="14">
        <v>94.81241777777777</v>
      </c>
      <c r="G26" s="14">
        <v>0</v>
      </c>
      <c r="H26" s="14">
        <v>0</v>
      </c>
      <c r="I26" s="14">
        <v>28.443726463585435</v>
      </c>
      <c r="J26" s="14">
        <v>123.2561442413632</v>
      </c>
      <c r="K26" s="16"/>
      <c r="L26" s="17"/>
      <c r="N26" s="14">
        <v>264</v>
      </c>
      <c r="O26" s="15">
        <v>0.14666666666666667</v>
      </c>
      <c r="P26" s="14">
        <v>0</v>
      </c>
      <c r="Q26" s="14">
        <v>24.97344888888889</v>
      </c>
      <c r="R26" s="14">
        <v>0</v>
      </c>
      <c r="S26" s="14">
        <v>0</v>
      </c>
      <c r="T26" s="14">
        <v>7.492034964373376</v>
      </c>
      <c r="U26" s="14">
        <v>32.46548385326226</v>
      </c>
      <c r="V26" s="16">
        <v>0.2633985027933987</v>
      </c>
      <c r="W26" s="17"/>
      <c r="Y26" s="14">
        <v>304</v>
      </c>
      <c r="Z26" s="15">
        <v>0.1688888888888889</v>
      </c>
      <c r="AA26" s="14">
        <v>0</v>
      </c>
      <c r="AB26" s="14">
        <v>27.832071111111112</v>
      </c>
      <c r="AC26" s="14">
        <v>0</v>
      </c>
      <c r="AD26" s="14">
        <v>0</v>
      </c>
      <c r="AE26" s="14">
        <v>8.349621665117477</v>
      </c>
      <c r="AF26" s="14">
        <v>36.18169277622859</v>
      </c>
      <c r="AG26" s="16">
        <v>0.293548796280506</v>
      </c>
      <c r="AH26" s="17"/>
      <c r="AJ26" s="14">
        <v>304</v>
      </c>
      <c r="AK26" s="15">
        <v>0.1688888888888889</v>
      </c>
      <c r="AL26" s="14">
        <v>0</v>
      </c>
      <c r="AM26" s="14">
        <v>27.832071111111112</v>
      </c>
      <c r="AN26" s="14">
        <v>0</v>
      </c>
      <c r="AO26" s="14">
        <v>0</v>
      </c>
      <c r="AP26" s="14">
        <v>8.349621665117477</v>
      </c>
      <c r="AQ26" s="14">
        <v>36.18169277622859</v>
      </c>
      <c r="AR26" s="16">
        <v>0.293548796280506</v>
      </c>
      <c r="AS26" s="17"/>
      <c r="AU26" s="14">
        <v>144</v>
      </c>
      <c r="AV26" s="15">
        <v>0.08</v>
      </c>
      <c r="AW26" s="14">
        <v>0</v>
      </c>
      <c r="AX26" s="14">
        <v>14.174826666666668</v>
      </c>
      <c r="AY26" s="14">
        <v>0</v>
      </c>
      <c r="AZ26" s="14">
        <v>0</v>
      </c>
      <c r="BA26" s="14">
        <v>4.252448168977102</v>
      </c>
      <c r="BB26" s="14">
        <v>18.42727483564377</v>
      </c>
      <c r="BC26" s="16">
        <v>0.14950390464558935</v>
      </c>
      <c r="BD26" s="17"/>
    </row>
    <row r="27" spans="1:56" ht="12.75">
      <c r="A27" s="23" t="s">
        <v>881</v>
      </c>
      <c r="B27" s="13" t="s">
        <v>882</v>
      </c>
      <c r="C27" s="14">
        <v>310</v>
      </c>
      <c r="D27" s="15">
        <v>0.17222222222222222</v>
      </c>
      <c r="E27" s="14">
        <v>0</v>
      </c>
      <c r="F27" s="14">
        <v>30.418233333333333</v>
      </c>
      <c r="G27" s="14">
        <v>0</v>
      </c>
      <c r="H27" s="14">
        <v>0</v>
      </c>
      <c r="I27" s="14">
        <v>9.1254703626136</v>
      </c>
      <c r="J27" s="14">
        <v>39.54370369594693</v>
      </c>
      <c r="K27" s="16"/>
      <c r="L27" s="17"/>
      <c r="N27" s="14">
        <v>80</v>
      </c>
      <c r="O27" s="15">
        <v>0.044444444444444446</v>
      </c>
      <c r="P27" s="14">
        <v>0</v>
      </c>
      <c r="Q27" s="14">
        <v>7.849866666666667</v>
      </c>
      <c r="R27" s="14">
        <v>0</v>
      </c>
      <c r="S27" s="14">
        <v>0</v>
      </c>
      <c r="T27" s="14">
        <v>2.354960093577703</v>
      </c>
      <c r="U27" s="14">
        <v>10.20482676024437</v>
      </c>
      <c r="V27" s="16">
        <v>0.25806451612903225</v>
      </c>
      <c r="W27" s="17"/>
      <c r="Y27" s="14">
        <v>200</v>
      </c>
      <c r="Z27" s="15">
        <v>0.1111111111111111</v>
      </c>
      <c r="AA27" s="14">
        <v>0</v>
      </c>
      <c r="AB27" s="14">
        <v>19.624666666666666</v>
      </c>
      <c r="AC27" s="14">
        <v>0</v>
      </c>
      <c r="AD27" s="14">
        <v>0</v>
      </c>
      <c r="AE27" s="14">
        <v>5.887400233944257</v>
      </c>
      <c r="AF27" s="14">
        <v>25.512066900610925</v>
      </c>
      <c r="AG27" s="16">
        <v>0.6451612903225807</v>
      </c>
      <c r="AH27" s="17"/>
      <c r="AJ27" s="14">
        <v>30</v>
      </c>
      <c r="AK27" s="15">
        <v>0.016666666666666666</v>
      </c>
      <c r="AL27" s="14">
        <v>0</v>
      </c>
      <c r="AM27" s="14">
        <v>2.9436999999999998</v>
      </c>
      <c r="AN27" s="14">
        <v>0</v>
      </c>
      <c r="AO27" s="14">
        <v>0</v>
      </c>
      <c r="AP27" s="14">
        <v>0.8831100350916385</v>
      </c>
      <c r="AQ27" s="14">
        <v>3.826810035091638</v>
      </c>
      <c r="AR27" s="16">
        <v>0.09677419354838708</v>
      </c>
      <c r="AS27" s="17"/>
      <c r="AU27" s="14">
        <v>0</v>
      </c>
      <c r="AV27" s="15">
        <v>0</v>
      </c>
      <c r="AW27" s="14">
        <v>0</v>
      </c>
      <c r="AX27" s="14">
        <v>0</v>
      </c>
      <c r="AY27" s="14">
        <v>0</v>
      </c>
      <c r="AZ27" s="14">
        <v>0</v>
      </c>
      <c r="BA27" s="14">
        <v>0</v>
      </c>
      <c r="BB27" s="14">
        <v>0</v>
      </c>
      <c r="BC27" s="16">
        <v>0</v>
      </c>
      <c r="BD27" s="17"/>
    </row>
    <row r="28" spans="1:56" ht="12.75">
      <c r="A28" s="23" t="s">
        <v>883</v>
      </c>
      <c r="B28" s="13" t="s">
        <v>884</v>
      </c>
      <c r="C28" s="14">
        <f>N28+Y28+AJ28+AU28</f>
        <v>1040</v>
      </c>
      <c r="D28" s="15">
        <f>O28+Z28+AK28+AV28</f>
        <v>0.5777777777777777</v>
      </c>
      <c r="E28" s="14">
        <v>0</v>
      </c>
      <c r="F28" s="14">
        <v>102.04826666666666</v>
      </c>
      <c r="G28" s="14">
        <v>0</v>
      </c>
      <c r="H28" s="14">
        <v>0</v>
      </c>
      <c r="I28" s="14">
        <v>22.45061854501565</v>
      </c>
      <c r="J28" s="14">
        <v>124.4988852116823</v>
      </c>
      <c r="K28" s="16"/>
      <c r="L28" s="17"/>
      <c r="N28" s="14">
        <v>304</v>
      </c>
      <c r="O28" s="15">
        <v>0.1688888888888889</v>
      </c>
      <c r="P28" s="14">
        <v>0</v>
      </c>
      <c r="Q28" s="14">
        <v>29.829493333333332</v>
      </c>
      <c r="R28" s="14">
        <v>0</v>
      </c>
      <c r="S28" s="14">
        <v>0</v>
      </c>
      <c r="T28" s="14">
        <v>6.562488497773805</v>
      </c>
      <c r="U28" s="14">
        <v>36.39198183110714</v>
      </c>
      <c r="V28" s="16">
        <v>0.2923076923076923</v>
      </c>
      <c r="W28" s="17"/>
      <c r="Y28" s="14">
        <v>320</v>
      </c>
      <c r="Z28" s="15">
        <v>0.17777777777777778</v>
      </c>
      <c r="AA28" s="14">
        <v>0</v>
      </c>
      <c r="AB28" s="14">
        <v>31.39946666666667</v>
      </c>
      <c r="AC28" s="14">
        <v>0</v>
      </c>
      <c r="AD28" s="14">
        <v>0</v>
      </c>
      <c r="AE28" s="14">
        <v>6.907882629235585</v>
      </c>
      <c r="AF28" s="14">
        <v>38.307349295902256</v>
      </c>
      <c r="AG28" s="16">
        <v>0.30769230769230776</v>
      </c>
      <c r="AH28" s="17"/>
      <c r="AJ28" s="14">
        <v>240</v>
      </c>
      <c r="AK28" s="15">
        <v>0.13333333333333333</v>
      </c>
      <c r="AL28" s="14">
        <v>0</v>
      </c>
      <c r="AM28" s="14">
        <v>23.549599999999998</v>
      </c>
      <c r="AN28" s="14">
        <v>0</v>
      </c>
      <c r="AO28" s="14">
        <v>0</v>
      </c>
      <c r="AP28" s="14">
        <v>5.180911971926689</v>
      </c>
      <c r="AQ28" s="14">
        <v>28.73051197192669</v>
      </c>
      <c r="AR28" s="16">
        <v>0.23076923076923078</v>
      </c>
      <c r="AS28" s="17"/>
      <c r="AU28" s="14">
        <v>176</v>
      </c>
      <c r="AV28" s="15">
        <v>0.09777777777777778</v>
      </c>
      <c r="AW28" s="14">
        <v>0</v>
      </c>
      <c r="AX28" s="14">
        <v>17.269706666666664</v>
      </c>
      <c r="AY28" s="14">
        <v>0</v>
      </c>
      <c r="AZ28" s="14">
        <v>0</v>
      </c>
      <c r="BA28" s="14">
        <v>3.7993354460795716</v>
      </c>
      <c r="BB28" s="14">
        <v>21.069042112746235</v>
      </c>
      <c r="BC28" s="16">
        <v>0.1692307692307692</v>
      </c>
      <c r="BD28" s="17"/>
    </row>
    <row r="29" spans="1:56" ht="12.75">
      <c r="A29" s="23" t="s">
        <v>885</v>
      </c>
      <c r="B29" s="13" t="s">
        <v>886</v>
      </c>
      <c r="C29" s="14">
        <v>776</v>
      </c>
      <c r="D29" s="15">
        <v>0.4311111111111111</v>
      </c>
      <c r="E29" s="14">
        <v>4</v>
      </c>
      <c r="F29" s="14">
        <v>66.95250666666666</v>
      </c>
      <c r="G29" s="14">
        <v>0</v>
      </c>
      <c r="H29" s="14">
        <v>13.3669404296875</v>
      </c>
      <c r="I29" s="14">
        <v>14.457501051833203</v>
      </c>
      <c r="J29" s="14">
        <v>94.77694814818737</v>
      </c>
      <c r="K29" s="16"/>
      <c r="L29" s="17"/>
      <c r="N29" s="14">
        <v>224</v>
      </c>
      <c r="O29" s="15">
        <v>0.12444444444444444</v>
      </c>
      <c r="P29" s="14">
        <v>1</v>
      </c>
      <c r="Q29" s="14">
        <v>17.894648888888888</v>
      </c>
      <c r="R29" s="14">
        <v>0</v>
      </c>
      <c r="S29" s="14">
        <v>3.341735107421875</v>
      </c>
      <c r="T29" s="14">
        <v>3.822549271230393</v>
      </c>
      <c r="U29" s="14">
        <v>25.058933267541157</v>
      </c>
      <c r="V29" s="16">
        <v>0.2643990311690619</v>
      </c>
      <c r="W29" s="17"/>
      <c r="Y29" s="14">
        <v>360</v>
      </c>
      <c r="Z29" s="15">
        <v>0.2</v>
      </c>
      <c r="AA29" s="14">
        <v>1</v>
      </c>
      <c r="AB29" s="14">
        <v>30.218177777777775</v>
      </c>
      <c r="AC29" s="14">
        <v>0</v>
      </c>
      <c r="AD29" s="14">
        <v>3.341735107421875</v>
      </c>
      <c r="AE29" s="14">
        <v>6.040784559375139</v>
      </c>
      <c r="AF29" s="14">
        <v>39.60069744457479</v>
      </c>
      <c r="AG29" s="16">
        <v>0.41783047690729175</v>
      </c>
      <c r="AH29" s="17"/>
      <c r="AJ29" s="14">
        <v>96</v>
      </c>
      <c r="AK29" s="15">
        <v>0.05333333333333334</v>
      </c>
      <c r="AL29" s="14">
        <v>1</v>
      </c>
      <c r="AM29" s="14">
        <v>9.41984</v>
      </c>
      <c r="AN29" s="14">
        <v>0</v>
      </c>
      <c r="AO29" s="14">
        <v>3.341735107421875</v>
      </c>
      <c r="AP29" s="14">
        <v>2.2970836106138357</v>
      </c>
      <c r="AQ29" s="14">
        <v>15.058658718035712</v>
      </c>
      <c r="AR29" s="16">
        <v>0.15888524596182318</v>
      </c>
      <c r="AS29" s="17"/>
      <c r="AU29" s="14">
        <v>96</v>
      </c>
      <c r="AV29" s="15">
        <v>0.05333333333333334</v>
      </c>
      <c r="AW29" s="14">
        <v>1</v>
      </c>
      <c r="AX29" s="14">
        <v>9.41984</v>
      </c>
      <c r="AY29" s="14">
        <v>0</v>
      </c>
      <c r="AZ29" s="14">
        <v>3.341735107421875</v>
      </c>
      <c r="BA29" s="14">
        <v>2.2970836106138357</v>
      </c>
      <c r="BB29" s="14">
        <v>15.058658718035712</v>
      </c>
      <c r="BC29" s="16">
        <v>0.15888524596182318</v>
      </c>
      <c r="BD29" s="17"/>
    </row>
    <row r="30" spans="1:56" ht="12.75">
      <c r="A30" s="13">
        <v>3.5</v>
      </c>
      <c r="B30" s="13" t="s">
        <v>887</v>
      </c>
      <c r="C30" s="14">
        <v>524</v>
      </c>
      <c r="D30" s="15">
        <v>0.2911111111111111</v>
      </c>
      <c r="E30" s="14">
        <v>0</v>
      </c>
      <c r="F30" s="14">
        <v>45.13433555555555</v>
      </c>
      <c r="G30" s="14">
        <v>0</v>
      </c>
      <c r="H30" s="14">
        <v>0</v>
      </c>
      <c r="I30" s="14">
        <v>3.197462936534799</v>
      </c>
      <c r="J30" s="14">
        <v>48.33179849209035</v>
      </c>
      <c r="K30" s="16"/>
      <c r="L30" s="17"/>
      <c r="N30" s="14">
        <v>284</v>
      </c>
      <c r="O30" s="15">
        <v>0.15777777777777777</v>
      </c>
      <c r="P30" s="14">
        <v>0</v>
      </c>
      <c r="Q30" s="14">
        <v>24.612257777777778</v>
      </c>
      <c r="R30" s="14">
        <v>0</v>
      </c>
      <c r="S30" s="14">
        <v>0</v>
      </c>
      <c r="T30" s="14">
        <v>1.2306129072264498</v>
      </c>
      <c r="U30" s="14">
        <v>25.84287068500423</v>
      </c>
      <c r="V30" s="16">
        <v>0.5346970626229334</v>
      </c>
      <c r="W30" s="17"/>
      <c r="Y30" s="14">
        <v>140</v>
      </c>
      <c r="Z30" s="15">
        <v>0.07777777777777778</v>
      </c>
      <c r="AA30" s="14">
        <v>0</v>
      </c>
      <c r="AB30" s="14">
        <v>11.505977777777776</v>
      </c>
      <c r="AC30" s="14">
        <v>0</v>
      </c>
      <c r="AD30" s="14">
        <v>0</v>
      </c>
      <c r="AE30" s="14">
        <v>1.1505977949230206</v>
      </c>
      <c r="AF30" s="14">
        <v>12.656575572700797</v>
      </c>
      <c r="AG30" s="16">
        <v>0.2618684999849961</v>
      </c>
      <c r="AH30" s="17"/>
      <c r="AJ30" s="14">
        <v>80</v>
      </c>
      <c r="AK30" s="15">
        <v>0.044444444444444446</v>
      </c>
      <c r="AL30" s="14">
        <v>0</v>
      </c>
      <c r="AM30" s="14">
        <v>7.308944444444444</v>
      </c>
      <c r="AN30" s="14">
        <v>0</v>
      </c>
      <c r="AO30" s="14">
        <v>0</v>
      </c>
      <c r="AP30" s="14">
        <v>0.7308944553356204</v>
      </c>
      <c r="AQ30" s="14">
        <v>8.039838899780065</v>
      </c>
      <c r="AR30" s="16">
        <v>0.16634677687601074</v>
      </c>
      <c r="AS30" s="17"/>
      <c r="AU30" s="14">
        <v>20</v>
      </c>
      <c r="AV30" s="15">
        <v>0.011111111111111112</v>
      </c>
      <c r="AW30" s="14">
        <v>0</v>
      </c>
      <c r="AX30" s="14">
        <v>1.7071555555555555</v>
      </c>
      <c r="AY30" s="14">
        <v>0</v>
      </c>
      <c r="AZ30" s="14">
        <v>0</v>
      </c>
      <c r="BA30" s="14">
        <v>0.08535777904970779</v>
      </c>
      <c r="BB30" s="14">
        <v>1.7925133346052633</v>
      </c>
      <c r="BC30" s="16">
        <v>0.03708766051605991</v>
      </c>
      <c r="BD30" s="17"/>
    </row>
    <row r="31" spans="1:56" ht="12.75">
      <c r="A31" s="13">
        <v>3.6</v>
      </c>
      <c r="B31" s="13" t="s">
        <v>888</v>
      </c>
      <c r="C31" s="14">
        <v>1672</v>
      </c>
      <c r="D31" s="15">
        <v>0.9288888888888889</v>
      </c>
      <c r="E31" s="14">
        <v>14</v>
      </c>
      <c r="F31" s="14">
        <v>140.77784000000003</v>
      </c>
      <c r="G31" s="14">
        <v>0</v>
      </c>
      <c r="H31" s="14">
        <v>28.26214599609375</v>
      </c>
      <c r="I31" s="14">
        <v>31.166834951658714</v>
      </c>
      <c r="J31" s="14">
        <v>200.20682094775248</v>
      </c>
      <c r="K31" s="16"/>
      <c r="L31" s="17"/>
      <c r="N31" s="14">
        <v>280</v>
      </c>
      <c r="O31" s="15">
        <v>0.15555555555555556</v>
      </c>
      <c r="P31" s="14">
        <v>4</v>
      </c>
      <c r="Q31" s="14">
        <v>22.98105777777778</v>
      </c>
      <c r="R31" s="14">
        <v>0</v>
      </c>
      <c r="S31" s="14">
        <v>8.521404296875</v>
      </c>
      <c r="T31" s="14">
        <v>4.41034470922832</v>
      </c>
      <c r="U31" s="14">
        <v>35.9128067838811</v>
      </c>
      <c r="V31" s="16">
        <v>0.17937853772351336</v>
      </c>
      <c r="W31" s="17"/>
      <c r="Y31" s="14">
        <v>832</v>
      </c>
      <c r="Z31" s="15">
        <v>0.4622222222222222</v>
      </c>
      <c r="AA31" s="14">
        <v>4</v>
      </c>
      <c r="AB31" s="14">
        <v>71.4261688888889</v>
      </c>
      <c r="AC31" s="14">
        <v>0</v>
      </c>
      <c r="AD31" s="14">
        <v>6.0986357421875</v>
      </c>
      <c r="AE31" s="14">
        <v>10.853472694559079</v>
      </c>
      <c r="AF31" s="14">
        <v>88.37827732563547</v>
      </c>
      <c r="AG31" s="16">
        <v>0.4414348967096348</v>
      </c>
      <c r="AH31" s="17"/>
      <c r="AJ31" s="14">
        <v>416</v>
      </c>
      <c r="AK31" s="15">
        <v>0.2311111111111111</v>
      </c>
      <c r="AL31" s="14">
        <v>4</v>
      </c>
      <c r="AM31" s="14">
        <v>35.91733333333333</v>
      </c>
      <c r="AN31" s="14">
        <v>0</v>
      </c>
      <c r="AO31" s="14">
        <v>6.0986357421875</v>
      </c>
      <c r="AP31" s="14">
        <v>10.503992268880207</v>
      </c>
      <c r="AQ31" s="14">
        <v>52.51996134440104</v>
      </c>
      <c r="AR31" s="16">
        <v>0.26232853154442254</v>
      </c>
      <c r="AS31" s="17"/>
      <c r="AU31" s="14">
        <v>144</v>
      </c>
      <c r="AV31" s="15">
        <v>0.08</v>
      </c>
      <c r="AW31" s="14">
        <v>2</v>
      </c>
      <c r="AX31" s="14">
        <v>10.45328</v>
      </c>
      <c r="AY31" s="14">
        <v>0</v>
      </c>
      <c r="AZ31" s="14">
        <v>7.54347021484375</v>
      </c>
      <c r="BA31" s="14">
        <v>5.399025278991106</v>
      </c>
      <c r="BB31" s="14">
        <v>23.395775493834854</v>
      </c>
      <c r="BC31" s="16">
        <v>0.11685803402242922</v>
      </c>
      <c r="BD31" s="17"/>
    </row>
    <row r="32" spans="1:56" ht="12.75">
      <c r="A32" s="13">
        <v>3.7</v>
      </c>
      <c r="B32" s="13" t="s">
        <v>889</v>
      </c>
      <c r="C32" s="14">
        <v>684</v>
      </c>
      <c r="D32" s="15">
        <v>0.38</v>
      </c>
      <c r="E32" s="14">
        <v>0</v>
      </c>
      <c r="F32" s="14">
        <v>33.928686666666664</v>
      </c>
      <c r="G32" s="14">
        <v>0</v>
      </c>
      <c r="H32" s="14">
        <v>0</v>
      </c>
      <c r="I32" s="14">
        <v>13.910761411994894</v>
      </c>
      <c r="J32" s="14">
        <v>47.83944807866156</v>
      </c>
      <c r="K32" s="16"/>
      <c r="L32" s="17"/>
      <c r="N32" s="14">
        <v>218</v>
      </c>
      <c r="O32" s="15">
        <v>0.12111111111111111</v>
      </c>
      <c r="P32" s="14">
        <v>0</v>
      </c>
      <c r="Q32" s="14">
        <v>11.622043333333334</v>
      </c>
      <c r="R32" s="14">
        <v>0</v>
      </c>
      <c r="S32" s="14">
        <v>0</v>
      </c>
      <c r="T32" s="14">
        <v>4.765037725103</v>
      </c>
      <c r="U32" s="14">
        <v>16.387081058436333</v>
      </c>
      <c r="V32" s="16">
        <v>0.3425432716425019</v>
      </c>
      <c r="W32" s="17"/>
      <c r="Y32" s="14">
        <v>180</v>
      </c>
      <c r="Z32" s="15">
        <v>0.1</v>
      </c>
      <c r="AA32" s="14">
        <v>0</v>
      </c>
      <c r="AB32" s="14">
        <v>8.616299999999999</v>
      </c>
      <c r="AC32" s="14">
        <v>0</v>
      </c>
      <c r="AD32" s="14">
        <v>0</v>
      </c>
      <c r="AE32" s="14">
        <v>3.53268296918571</v>
      </c>
      <c r="AF32" s="14">
        <v>12.14898296918571</v>
      </c>
      <c r="AG32" s="16">
        <v>0.2539532427131967</v>
      </c>
      <c r="AH32" s="17"/>
      <c r="AJ32" s="14">
        <v>208</v>
      </c>
      <c r="AK32" s="15">
        <v>0.11555555555555555</v>
      </c>
      <c r="AL32" s="14">
        <v>0</v>
      </c>
      <c r="AM32" s="14">
        <v>9.956613333333333</v>
      </c>
      <c r="AN32" s="14">
        <v>0</v>
      </c>
      <c r="AO32" s="14">
        <v>0</v>
      </c>
      <c r="AP32" s="14">
        <v>4.082211431059043</v>
      </c>
      <c r="AQ32" s="14">
        <v>14.038824764392377</v>
      </c>
      <c r="AR32" s="16">
        <v>0.2934570804685828</v>
      </c>
      <c r="AS32" s="17"/>
      <c r="AU32" s="14">
        <v>78</v>
      </c>
      <c r="AV32" s="15">
        <v>0.043333333333333335</v>
      </c>
      <c r="AW32" s="14">
        <v>0</v>
      </c>
      <c r="AX32" s="14">
        <v>3.73373</v>
      </c>
      <c r="AY32" s="14">
        <v>0</v>
      </c>
      <c r="AZ32" s="14">
        <v>0</v>
      </c>
      <c r="BA32" s="14">
        <v>1.5308292866471411</v>
      </c>
      <c r="BB32" s="14">
        <v>5.264559286647141</v>
      </c>
      <c r="BC32" s="16">
        <v>0.11004640517571856</v>
      </c>
      <c r="BD32" s="17"/>
    </row>
    <row r="33" spans="1:56" ht="12.75">
      <c r="A33" s="13">
        <v>3.8</v>
      </c>
      <c r="B33" s="13" t="s">
        <v>890</v>
      </c>
      <c r="C33" s="14">
        <v>253</v>
      </c>
      <c r="D33" s="15">
        <v>0.14055555555555554</v>
      </c>
      <c r="E33" s="14">
        <v>0</v>
      </c>
      <c r="F33" s="14">
        <v>13.115788333333334</v>
      </c>
      <c r="G33" s="14">
        <v>0</v>
      </c>
      <c r="H33" s="14">
        <v>0</v>
      </c>
      <c r="I33" s="14">
        <v>1.8362103744842857</v>
      </c>
      <c r="J33" s="14">
        <v>14.95199870781762</v>
      </c>
      <c r="K33" s="16"/>
      <c r="L33" s="17"/>
      <c r="N33" s="14">
        <v>20</v>
      </c>
      <c r="O33" s="15">
        <v>0.011111111111111112</v>
      </c>
      <c r="P33" s="14">
        <v>0</v>
      </c>
      <c r="Q33" s="14">
        <v>1.9624666666666668</v>
      </c>
      <c r="R33" s="14">
        <v>0</v>
      </c>
      <c r="S33" s="14">
        <v>0</v>
      </c>
      <c r="T33" s="14">
        <v>0.2747453345030546</v>
      </c>
      <c r="U33" s="14">
        <v>2.2372120011697216</v>
      </c>
      <c r="V33" s="16">
        <v>0.14962628374225315</v>
      </c>
      <c r="W33" s="17"/>
      <c r="Y33" s="14">
        <v>90</v>
      </c>
      <c r="Z33" s="15">
        <v>0.05</v>
      </c>
      <c r="AA33" s="14">
        <v>0</v>
      </c>
      <c r="AB33" s="14">
        <v>4.3081499999999995</v>
      </c>
      <c r="AC33" s="14">
        <v>0</v>
      </c>
      <c r="AD33" s="14">
        <v>0</v>
      </c>
      <c r="AE33" s="14">
        <v>0.6031410025678574</v>
      </c>
      <c r="AF33" s="14">
        <v>4.911291002567857</v>
      </c>
      <c r="AG33" s="16">
        <v>0.3284705341768121</v>
      </c>
      <c r="AH33" s="17"/>
      <c r="AJ33" s="14">
        <v>104</v>
      </c>
      <c r="AK33" s="15">
        <v>0.057777777777777775</v>
      </c>
      <c r="AL33" s="14">
        <v>0</v>
      </c>
      <c r="AM33" s="14">
        <v>4.978306666666667</v>
      </c>
      <c r="AN33" s="14">
        <v>0</v>
      </c>
      <c r="AO33" s="14">
        <v>0</v>
      </c>
      <c r="AP33" s="14">
        <v>0.6969629363006353</v>
      </c>
      <c r="AQ33" s="14">
        <v>5.675269602967302</v>
      </c>
      <c r="AR33" s="16">
        <v>0.3795659506043162</v>
      </c>
      <c r="AS33" s="17"/>
      <c r="AU33" s="14">
        <v>39</v>
      </c>
      <c r="AV33" s="15">
        <v>0.021666666666666667</v>
      </c>
      <c r="AW33" s="14">
        <v>0</v>
      </c>
      <c r="AX33" s="14">
        <v>1.866865</v>
      </c>
      <c r="AY33" s="14">
        <v>0</v>
      </c>
      <c r="AZ33" s="14">
        <v>0</v>
      </c>
      <c r="BA33" s="14">
        <v>0.26136110111273825</v>
      </c>
      <c r="BB33" s="14">
        <v>2.1282261011127384</v>
      </c>
      <c r="BC33" s="16">
        <v>0.1423372314766186</v>
      </c>
      <c r="BD33" s="17"/>
    </row>
    <row r="34" spans="1:56" ht="12.75">
      <c r="A34" s="24">
        <v>3.9</v>
      </c>
      <c r="B34" s="13" t="s">
        <v>891</v>
      </c>
      <c r="C34" s="14">
        <v>2000</v>
      </c>
      <c r="D34" s="15">
        <v>1.1111111111111112</v>
      </c>
      <c r="E34" s="14">
        <v>1</v>
      </c>
      <c r="F34" s="14">
        <v>196.69733333333335</v>
      </c>
      <c r="G34" s="14">
        <v>262.65</v>
      </c>
      <c r="H34" s="14">
        <v>3.771735107421875</v>
      </c>
      <c r="I34" s="14">
        <v>32.494761904616716</v>
      </c>
      <c r="J34" s="14">
        <v>495.6138303453719</v>
      </c>
      <c r="K34" s="16"/>
      <c r="L34" s="17"/>
      <c r="N34" s="14">
        <v>700</v>
      </c>
      <c r="O34" s="15">
        <v>0.3888888888888889</v>
      </c>
      <c r="P34" s="14">
        <v>0</v>
      </c>
      <c r="Q34" s="14">
        <v>71.35211111111111</v>
      </c>
      <c r="R34" s="14">
        <v>108.15</v>
      </c>
      <c r="S34" s="14">
        <v>0</v>
      </c>
      <c r="T34" s="14">
        <v>8.97510568929505</v>
      </c>
      <c r="U34" s="14">
        <v>188.47721680040615</v>
      </c>
      <c r="V34" s="16">
        <v>0.3802904706453904</v>
      </c>
      <c r="W34" s="17"/>
      <c r="Y34" s="14">
        <v>800</v>
      </c>
      <c r="Z34" s="15">
        <v>0.4444444444444444</v>
      </c>
      <c r="AA34" s="14">
        <v>1</v>
      </c>
      <c r="AB34" s="14">
        <v>83.83022222222222</v>
      </c>
      <c r="AC34" s="14">
        <v>154.5</v>
      </c>
      <c r="AD34" s="14">
        <v>3.771735107421875</v>
      </c>
      <c r="AE34" s="14">
        <v>19.36815615345949</v>
      </c>
      <c r="AF34" s="14">
        <v>261.4701134831036</v>
      </c>
      <c r="AG34" s="16">
        <v>0.5275682345282745</v>
      </c>
      <c r="AH34" s="17"/>
      <c r="AJ34" s="14">
        <v>500</v>
      </c>
      <c r="AK34" s="15">
        <v>0.2777777777777778</v>
      </c>
      <c r="AL34" s="14">
        <v>0</v>
      </c>
      <c r="AM34" s="14">
        <v>41.515</v>
      </c>
      <c r="AN34" s="14">
        <v>0</v>
      </c>
      <c r="AO34" s="14">
        <v>0</v>
      </c>
      <c r="AP34" s="14">
        <v>4.151500061862171</v>
      </c>
      <c r="AQ34" s="14">
        <v>45.66650006186217</v>
      </c>
      <c r="AR34" s="16">
        <v>0.09214129482633517</v>
      </c>
      <c r="AS34" s="17"/>
      <c r="AU34" s="14">
        <v>0</v>
      </c>
      <c r="AV34" s="15">
        <v>0</v>
      </c>
      <c r="AW34" s="14">
        <v>0</v>
      </c>
      <c r="AX34" s="14">
        <v>0</v>
      </c>
      <c r="AY34" s="14">
        <v>0</v>
      </c>
      <c r="AZ34" s="14">
        <v>0</v>
      </c>
      <c r="BA34" s="14">
        <v>0</v>
      </c>
      <c r="BB34" s="14">
        <v>0</v>
      </c>
      <c r="BC34" s="16">
        <v>0</v>
      </c>
      <c r="BD34" s="17"/>
    </row>
    <row r="35" spans="1:56" ht="12.75">
      <c r="A35" s="24" t="s">
        <v>892</v>
      </c>
      <c r="B35" s="13" t="s">
        <v>893</v>
      </c>
      <c r="C35" s="14">
        <v>340</v>
      </c>
      <c r="D35" s="15">
        <v>0.18888888888888888</v>
      </c>
      <c r="E35" s="14">
        <v>0</v>
      </c>
      <c r="F35" s="14">
        <v>38.693488888888886</v>
      </c>
      <c r="G35" s="14">
        <v>0</v>
      </c>
      <c r="H35" s="14">
        <v>0</v>
      </c>
      <c r="I35" s="14">
        <v>1.9346744732733405</v>
      </c>
      <c r="J35" s="14">
        <v>40.628163362162226</v>
      </c>
      <c r="K35" s="16"/>
      <c r="L35" s="17"/>
      <c r="N35" s="14">
        <v>120</v>
      </c>
      <c r="O35" s="15">
        <v>0.06666666666666667</v>
      </c>
      <c r="P35" s="14">
        <v>0</v>
      </c>
      <c r="Q35" s="14">
        <v>13.907422222222223</v>
      </c>
      <c r="R35" s="14">
        <v>0</v>
      </c>
      <c r="S35" s="14">
        <v>0</v>
      </c>
      <c r="T35" s="14">
        <v>0.6953711214729482</v>
      </c>
      <c r="U35" s="14">
        <v>14.602793343695172</v>
      </c>
      <c r="V35" s="16">
        <v>0.35942538710216543</v>
      </c>
      <c r="W35" s="17"/>
      <c r="Y35" s="14">
        <v>100</v>
      </c>
      <c r="Z35" s="15">
        <v>0.05555555555555555</v>
      </c>
      <c r="AA35" s="14">
        <v>0</v>
      </c>
      <c r="AB35" s="14">
        <v>11.4118</v>
      </c>
      <c r="AC35" s="14">
        <v>0</v>
      </c>
      <c r="AD35" s="14">
        <v>0</v>
      </c>
      <c r="AE35" s="14">
        <v>0.5705900085024536</v>
      </c>
      <c r="AF35" s="14">
        <v>11.982390008502453</v>
      </c>
      <c r="AG35" s="16">
        <v>0.29492817338777066</v>
      </c>
      <c r="AH35" s="17"/>
      <c r="AJ35" s="14">
        <v>80</v>
      </c>
      <c r="AK35" s="15">
        <v>0.044444444444444446</v>
      </c>
      <c r="AL35" s="14">
        <v>0</v>
      </c>
      <c r="AM35" s="14">
        <v>8.91617777777778</v>
      </c>
      <c r="AN35" s="14">
        <v>0</v>
      </c>
      <c r="AO35" s="14">
        <v>0</v>
      </c>
      <c r="AP35" s="14">
        <v>0.44580889553195907</v>
      </c>
      <c r="AQ35" s="14">
        <v>9.361986673309739</v>
      </c>
      <c r="AR35" s="16">
        <v>0.23043095967337607</v>
      </c>
      <c r="AS35" s="17"/>
      <c r="AU35" s="14">
        <v>40</v>
      </c>
      <c r="AV35" s="15">
        <v>0.022222222222222223</v>
      </c>
      <c r="AW35" s="14">
        <v>0</v>
      </c>
      <c r="AX35" s="14">
        <v>4.45808888888889</v>
      </c>
      <c r="AY35" s="14">
        <v>0</v>
      </c>
      <c r="AZ35" s="14">
        <v>0</v>
      </c>
      <c r="BA35" s="14">
        <v>0.22290444776597954</v>
      </c>
      <c r="BB35" s="14">
        <v>4.680993336654869</v>
      </c>
      <c r="BC35" s="16">
        <v>0.11521547983668803</v>
      </c>
      <c r="BD35" s="17"/>
    </row>
    <row r="36" spans="1:56" ht="12.75">
      <c r="A36" s="8">
        <v>4</v>
      </c>
      <c r="B36" s="9" t="s">
        <v>894</v>
      </c>
      <c r="C36" s="10"/>
      <c r="D36" s="10"/>
      <c r="E36" s="10"/>
      <c r="F36" s="10"/>
      <c r="G36" s="10"/>
      <c r="H36" s="10"/>
      <c r="I36" s="10"/>
      <c r="J36" s="10"/>
      <c r="K36" s="11">
        <v>0.3915179443614014</v>
      </c>
      <c r="L36" s="12">
        <v>16532.540182686374</v>
      </c>
      <c r="N36" s="10"/>
      <c r="O36" s="10"/>
      <c r="P36" s="10"/>
      <c r="Q36" s="10"/>
      <c r="R36" s="10"/>
      <c r="S36" s="10"/>
      <c r="T36" s="10"/>
      <c r="U36" s="10"/>
      <c r="V36" s="10"/>
      <c r="W36" s="12">
        <v>938.6864161688864</v>
      </c>
      <c r="Y36" s="10"/>
      <c r="Z36" s="10"/>
      <c r="AA36" s="10"/>
      <c r="AB36" s="10"/>
      <c r="AC36" s="10"/>
      <c r="AD36" s="10"/>
      <c r="AE36" s="10"/>
      <c r="AF36" s="10"/>
      <c r="AG36" s="10"/>
      <c r="AH36" s="12">
        <v>2820.094206410954</v>
      </c>
      <c r="AJ36" s="10"/>
      <c r="AK36" s="10"/>
      <c r="AL36" s="10"/>
      <c r="AM36" s="10"/>
      <c r="AN36" s="10"/>
      <c r="AO36" s="10"/>
      <c r="AP36" s="10"/>
      <c r="AQ36" s="10"/>
      <c r="AR36" s="10"/>
      <c r="AS36" s="12">
        <v>12770.250226770711</v>
      </c>
      <c r="AU36" s="10"/>
      <c r="AV36" s="10"/>
      <c r="AW36" s="10"/>
      <c r="AX36" s="10"/>
      <c r="AY36" s="10"/>
      <c r="AZ36" s="10"/>
      <c r="BA36" s="10"/>
      <c r="BB36" s="10"/>
      <c r="BC36" s="10"/>
      <c r="BD36" s="12">
        <v>3.5093333358234826</v>
      </c>
    </row>
    <row r="37" spans="1:55" ht="12.75">
      <c r="A37" s="13">
        <v>4.1</v>
      </c>
      <c r="B37" s="19" t="s">
        <v>895</v>
      </c>
      <c r="C37" s="14">
        <v>520</v>
      </c>
      <c r="D37" s="15">
        <v>0.28888888888888886</v>
      </c>
      <c r="E37" s="14">
        <v>0</v>
      </c>
      <c r="F37" s="14">
        <v>34.666511111111106</v>
      </c>
      <c r="G37" s="14">
        <v>618</v>
      </c>
      <c r="H37" s="14">
        <v>0</v>
      </c>
      <c r="I37" s="14">
        <v>116.2604271350016</v>
      </c>
      <c r="J37" s="14">
        <v>768.9269382461126</v>
      </c>
      <c r="K37" s="16"/>
      <c r="N37" s="14">
        <v>300</v>
      </c>
      <c r="O37" s="15">
        <v>0.16666666666666666</v>
      </c>
      <c r="P37" s="14">
        <v>0</v>
      </c>
      <c r="Q37" s="14">
        <v>21.777666666666665</v>
      </c>
      <c r="R37" s="14">
        <v>0</v>
      </c>
      <c r="S37" s="14">
        <v>0</v>
      </c>
      <c r="T37" s="14">
        <v>3.0488733463138336</v>
      </c>
      <c r="U37" s="14">
        <v>24.826540012980498</v>
      </c>
      <c r="V37" s="16">
        <v>0.03228725484583582</v>
      </c>
      <c r="Y37" s="14">
        <v>120</v>
      </c>
      <c r="Z37" s="15">
        <v>0.06666666666666667</v>
      </c>
      <c r="AA37" s="14">
        <v>0</v>
      </c>
      <c r="AB37" s="14">
        <v>8.711066666666666</v>
      </c>
      <c r="AC37" s="14">
        <v>0</v>
      </c>
      <c r="AD37" s="14">
        <v>0</v>
      </c>
      <c r="AE37" s="14">
        <v>1.2195493385255336</v>
      </c>
      <c r="AF37" s="14">
        <v>9.9306160051922</v>
      </c>
      <c r="AG37" s="16">
        <v>0.012914901938334326</v>
      </c>
      <c r="AJ37" s="14">
        <v>100</v>
      </c>
      <c r="AK37" s="15">
        <v>0.05555555555555555</v>
      </c>
      <c r="AL37" s="14">
        <v>0</v>
      </c>
      <c r="AM37" s="14">
        <v>4.177777777777778</v>
      </c>
      <c r="AN37" s="14">
        <v>618</v>
      </c>
      <c r="AO37" s="14">
        <v>0</v>
      </c>
      <c r="AP37" s="14">
        <v>111.99200445016224</v>
      </c>
      <c r="AQ37" s="14">
        <v>734.16978222794</v>
      </c>
      <c r="AR37" s="16">
        <v>0.9547978432158299</v>
      </c>
      <c r="AU37" s="14">
        <v>0</v>
      </c>
      <c r="AV37" s="15">
        <v>0</v>
      </c>
      <c r="AW37" s="14">
        <v>0</v>
      </c>
      <c r="AX37" s="14">
        <v>0</v>
      </c>
      <c r="AY37" s="14">
        <v>0</v>
      </c>
      <c r="AZ37" s="14">
        <v>0</v>
      </c>
      <c r="BA37" s="14">
        <v>0</v>
      </c>
      <c r="BB37" s="14">
        <v>0</v>
      </c>
      <c r="BC37" s="16">
        <v>0</v>
      </c>
    </row>
    <row r="38" spans="1:55" ht="12.75">
      <c r="A38" s="13">
        <v>4.2</v>
      </c>
      <c r="B38" s="19" t="s">
        <v>896</v>
      </c>
      <c r="K38" s="22"/>
      <c r="V38" s="22"/>
      <c r="AG38" s="22"/>
      <c r="AR38" s="22"/>
      <c r="BC38" s="22"/>
    </row>
    <row r="39" spans="1:55" ht="12.75">
      <c r="A39" s="23" t="s">
        <v>897</v>
      </c>
      <c r="B39" s="19" t="s">
        <v>898</v>
      </c>
      <c r="C39" s="14">
        <v>1920</v>
      </c>
      <c r="D39" s="15">
        <v>1.0666666666666667</v>
      </c>
      <c r="E39" s="14">
        <v>0</v>
      </c>
      <c r="F39" s="14">
        <v>104.86488888888888</v>
      </c>
      <c r="G39" s="14">
        <v>113.3</v>
      </c>
      <c r="H39" s="14">
        <v>0</v>
      </c>
      <c r="I39" s="14">
        <v>65.4494692673948</v>
      </c>
      <c r="J39" s="14">
        <v>283.6143581562837</v>
      </c>
      <c r="K39" s="16"/>
      <c r="N39" s="14">
        <v>160</v>
      </c>
      <c r="O39" s="15">
        <v>0.08888888888888889</v>
      </c>
      <c r="P39" s="14">
        <v>0</v>
      </c>
      <c r="Q39" s="14">
        <v>11.614755555555556</v>
      </c>
      <c r="R39" s="14">
        <v>0</v>
      </c>
      <c r="S39" s="14">
        <v>0</v>
      </c>
      <c r="T39" s="14">
        <v>3.4844268051253424</v>
      </c>
      <c r="U39" s="14">
        <v>15.0991823606809</v>
      </c>
      <c r="V39" s="16">
        <v>0.053238427203888605</v>
      </c>
      <c r="Y39" s="14">
        <v>480</v>
      </c>
      <c r="Z39" s="15">
        <v>0.26666666666666666</v>
      </c>
      <c r="AA39" s="14">
        <v>0</v>
      </c>
      <c r="AB39" s="14">
        <v>34.84426666666666</v>
      </c>
      <c r="AC39" s="14">
        <v>0</v>
      </c>
      <c r="AD39" s="14">
        <v>0</v>
      </c>
      <c r="AE39" s="14">
        <v>10.453280415376026</v>
      </c>
      <c r="AF39" s="14">
        <v>45.29754708204269</v>
      </c>
      <c r="AG39" s="16">
        <v>0.1597152816116658</v>
      </c>
      <c r="AJ39" s="14">
        <v>1280</v>
      </c>
      <c r="AK39" s="15">
        <v>0.7111111111111111</v>
      </c>
      <c r="AL39" s="14">
        <v>0</v>
      </c>
      <c r="AM39" s="14">
        <v>58.40586666666667</v>
      </c>
      <c r="AN39" s="14">
        <v>113.3</v>
      </c>
      <c r="AO39" s="14">
        <v>0</v>
      </c>
      <c r="AP39" s="14">
        <v>51.51176204689344</v>
      </c>
      <c r="AQ39" s="14">
        <v>223.21762871356012</v>
      </c>
      <c r="AR39" s="16">
        <v>0.7870462911844457</v>
      </c>
      <c r="AU39" s="14">
        <v>0</v>
      </c>
      <c r="AV39" s="15">
        <v>0</v>
      </c>
      <c r="AW39" s="14">
        <v>0</v>
      </c>
      <c r="AX39" s="14">
        <v>0</v>
      </c>
      <c r="AY39" s="14">
        <v>0</v>
      </c>
      <c r="AZ39" s="14">
        <v>0</v>
      </c>
      <c r="BA39" s="14">
        <v>0</v>
      </c>
      <c r="BB39" s="14">
        <v>0</v>
      </c>
      <c r="BC39" s="16">
        <v>0</v>
      </c>
    </row>
    <row r="40" spans="1:55" ht="12.75">
      <c r="A40" s="23" t="s">
        <v>899</v>
      </c>
      <c r="B40" s="19" t="s">
        <v>900</v>
      </c>
      <c r="C40" s="14">
        <v>740</v>
      </c>
      <c r="D40" s="15">
        <v>0.4111111111111111</v>
      </c>
      <c r="E40" s="14">
        <v>0</v>
      </c>
      <c r="F40" s="14">
        <v>44.47391111111111</v>
      </c>
      <c r="G40" s="14">
        <v>45.423</v>
      </c>
      <c r="H40" s="14">
        <v>0</v>
      </c>
      <c r="I40" s="14">
        <v>23.373196031565136</v>
      </c>
      <c r="J40" s="14">
        <v>113.27010714267624</v>
      </c>
      <c r="K40" s="16"/>
      <c r="N40" s="14">
        <v>120</v>
      </c>
      <c r="O40" s="15">
        <v>0.06666666666666667</v>
      </c>
      <c r="P40" s="14">
        <v>0</v>
      </c>
      <c r="Q40" s="14">
        <v>8.711066666666666</v>
      </c>
      <c r="R40" s="14">
        <v>0</v>
      </c>
      <c r="S40" s="14">
        <v>0</v>
      </c>
      <c r="T40" s="14">
        <v>2.264877250258128</v>
      </c>
      <c r="U40" s="14">
        <v>10.975943916924793</v>
      </c>
      <c r="V40" s="16">
        <v>0.09690062271327576</v>
      </c>
      <c r="Y40" s="14">
        <v>270</v>
      </c>
      <c r="Z40" s="15">
        <v>0.15</v>
      </c>
      <c r="AA40" s="14">
        <v>0</v>
      </c>
      <c r="AB40" s="14">
        <v>19.599899999999998</v>
      </c>
      <c r="AC40" s="14">
        <v>0</v>
      </c>
      <c r="AD40" s="14">
        <v>0</v>
      </c>
      <c r="AE40" s="14">
        <v>5.0959738130807875</v>
      </c>
      <c r="AF40" s="14">
        <v>24.695873813080787</v>
      </c>
      <c r="AG40" s="16">
        <v>0.2180264011048705</v>
      </c>
      <c r="AJ40" s="14">
        <v>350</v>
      </c>
      <c r="AK40" s="15">
        <v>0.19444444444444445</v>
      </c>
      <c r="AL40" s="14">
        <v>0</v>
      </c>
      <c r="AM40" s="14">
        <v>16.162944444444445</v>
      </c>
      <c r="AN40" s="14">
        <v>45.423</v>
      </c>
      <c r="AO40" s="14">
        <v>0</v>
      </c>
      <c r="AP40" s="14">
        <v>16.012344968226223</v>
      </c>
      <c r="AQ40" s="14">
        <v>77.59828941267068</v>
      </c>
      <c r="AR40" s="16">
        <v>0.6850729761818539</v>
      </c>
      <c r="AU40" s="14">
        <v>0</v>
      </c>
      <c r="AV40" s="15">
        <v>0</v>
      </c>
      <c r="AW40" s="14">
        <v>0</v>
      </c>
      <c r="AX40" s="14">
        <v>0</v>
      </c>
      <c r="AY40" s="14">
        <v>0</v>
      </c>
      <c r="AZ40" s="14">
        <v>0</v>
      </c>
      <c r="BA40" s="14">
        <v>0</v>
      </c>
      <c r="BB40" s="14">
        <v>0</v>
      </c>
      <c r="BC40" s="16">
        <v>0</v>
      </c>
    </row>
    <row r="41" spans="1:55" ht="12.75">
      <c r="A41" s="23" t="s">
        <v>901</v>
      </c>
      <c r="B41" s="19" t="s">
        <v>902</v>
      </c>
      <c r="C41" s="14">
        <v>6720</v>
      </c>
      <c r="D41" s="15">
        <v>3.7333333333333334</v>
      </c>
      <c r="E41" s="14">
        <v>0</v>
      </c>
      <c r="F41" s="14">
        <v>399.0741333333333</v>
      </c>
      <c r="G41" s="14">
        <v>265.74</v>
      </c>
      <c r="H41" s="14">
        <v>0</v>
      </c>
      <c r="I41" s="14">
        <v>199.44424792520203</v>
      </c>
      <c r="J41" s="14">
        <v>864.2583812585353</v>
      </c>
      <c r="K41" s="16"/>
      <c r="N41" s="14">
        <v>533</v>
      </c>
      <c r="O41" s="15">
        <v>0.2961111111111111</v>
      </c>
      <c r="P41" s="14">
        <v>0</v>
      </c>
      <c r="Q41" s="14">
        <v>38.691654444444445</v>
      </c>
      <c r="R41" s="14">
        <v>0</v>
      </c>
      <c r="S41" s="14">
        <v>0</v>
      </c>
      <c r="T41" s="14">
        <v>11.607496794573796</v>
      </c>
      <c r="U41" s="14">
        <v>50.299151239018244</v>
      </c>
      <c r="V41" s="16">
        <v>0.05819920561924142</v>
      </c>
      <c r="Y41" s="14">
        <v>2827</v>
      </c>
      <c r="Z41" s="15">
        <v>1.5705555555555555</v>
      </c>
      <c r="AA41" s="14">
        <v>0</v>
      </c>
      <c r="AB41" s="14">
        <v>205.2182122222222</v>
      </c>
      <c r="AC41" s="14">
        <v>0</v>
      </c>
      <c r="AD41" s="14">
        <v>0</v>
      </c>
      <c r="AE41" s="14">
        <v>61.56546611305839</v>
      </c>
      <c r="AF41" s="14">
        <v>266.78367833528057</v>
      </c>
      <c r="AG41" s="16">
        <v>0.3086850924682842</v>
      </c>
      <c r="AJ41" s="14">
        <v>3360</v>
      </c>
      <c r="AK41" s="15">
        <v>1.8666666666666667</v>
      </c>
      <c r="AL41" s="14">
        <v>0</v>
      </c>
      <c r="AM41" s="14">
        <v>155.16426666666666</v>
      </c>
      <c r="AN41" s="14">
        <v>265.74</v>
      </c>
      <c r="AO41" s="14">
        <v>0</v>
      </c>
      <c r="AP41" s="14">
        <v>126.27128501756985</v>
      </c>
      <c r="AQ41" s="14">
        <v>547.1755516842366</v>
      </c>
      <c r="AR41" s="16">
        <v>0.6331157019124745</v>
      </c>
      <c r="AU41" s="14">
        <v>0</v>
      </c>
      <c r="AV41" s="15">
        <v>0</v>
      </c>
      <c r="AW41" s="14">
        <v>0</v>
      </c>
      <c r="AX41" s="14">
        <v>0</v>
      </c>
      <c r="AY41" s="14">
        <v>0</v>
      </c>
      <c r="AZ41" s="14">
        <v>0</v>
      </c>
      <c r="BA41" s="14">
        <v>0</v>
      </c>
      <c r="BB41" s="14">
        <v>0</v>
      </c>
      <c r="BC41" s="16">
        <v>0</v>
      </c>
    </row>
    <row r="42" spans="1:55" ht="12.75">
      <c r="A42" s="23" t="s">
        <v>903</v>
      </c>
      <c r="B42" s="19" t="s">
        <v>904</v>
      </c>
      <c r="C42" s="14">
        <v>4640</v>
      </c>
      <c r="D42" s="15">
        <v>2.577777777777778</v>
      </c>
      <c r="E42" s="14">
        <v>0</v>
      </c>
      <c r="F42" s="14">
        <v>277.66417777777775</v>
      </c>
      <c r="G42" s="14">
        <v>271.92</v>
      </c>
      <c r="H42" s="14">
        <v>0</v>
      </c>
      <c r="I42" s="14">
        <v>164.87525988488724</v>
      </c>
      <c r="J42" s="14">
        <v>714.459437662665</v>
      </c>
      <c r="K42" s="16"/>
      <c r="N42" s="14">
        <v>400</v>
      </c>
      <c r="O42" s="15">
        <v>0.2222222222222222</v>
      </c>
      <c r="P42" s="14">
        <v>0</v>
      </c>
      <c r="Q42" s="14">
        <v>29.036888888888885</v>
      </c>
      <c r="R42" s="14">
        <v>0</v>
      </c>
      <c r="S42" s="14">
        <v>0</v>
      </c>
      <c r="T42" s="14">
        <v>8.711067012813356</v>
      </c>
      <c r="U42" s="14">
        <v>37.74795590170224</v>
      </c>
      <c r="V42" s="16">
        <v>0.052834288291010154</v>
      </c>
      <c r="Y42" s="14">
        <v>2000</v>
      </c>
      <c r="Z42" s="15">
        <v>1.1111111111111112</v>
      </c>
      <c r="AA42" s="14">
        <v>0</v>
      </c>
      <c r="AB42" s="14">
        <v>145.18444444444444</v>
      </c>
      <c r="AC42" s="14">
        <v>0</v>
      </c>
      <c r="AD42" s="14">
        <v>0</v>
      </c>
      <c r="AE42" s="14">
        <v>43.555335064066774</v>
      </c>
      <c r="AF42" s="14">
        <v>188.73977950851122</v>
      </c>
      <c r="AG42" s="16">
        <v>0.2641714414550508</v>
      </c>
      <c r="AJ42" s="14">
        <v>2240</v>
      </c>
      <c r="AK42" s="15">
        <v>1.2444444444444445</v>
      </c>
      <c r="AL42" s="14">
        <v>0</v>
      </c>
      <c r="AM42" s="14">
        <v>103.44284444444443</v>
      </c>
      <c r="AN42" s="14">
        <v>271.92</v>
      </c>
      <c r="AO42" s="14">
        <v>0</v>
      </c>
      <c r="AP42" s="14">
        <v>112.60885780800712</v>
      </c>
      <c r="AQ42" s="14">
        <v>487.97170225245156</v>
      </c>
      <c r="AR42" s="16">
        <v>0.6829942702539391</v>
      </c>
      <c r="AU42" s="14">
        <v>0</v>
      </c>
      <c r="AV42" s="15">
        <v>0</v>
      </c>
      <c r="AW42" s="14">
        <v>0</v>
      </c>
      <c r="AX42" s="14">
        <v>0</v>
      </c>
      <c r="AY42" s="14">
        <v>0</v>
      </c>
      <c r="AZ42" s="14">
        <v>0</v>
      </c>
      <c r="BA42" s="14">
        <v>0</v>
      </c>
      <c r="BB42" s="14">
        <v>0</v>
      </c>
      <c r="BC42" s="16">
        <v>0</v>
      </c>
    </row>
    <row r="43" spans="1:56" ht="12.75">
      <c r="A43" s="23" t="s">
        <v>905</v>
      </c>
      <c r="B43" s="13" t="s">
        <v>906</v>
      </c>
      <c r="C43" s="14">
        <v>7450</v>
      </c>
      <c r="D43" s="15">
        <v>4.138888888888889</v>
      </c>
      <c r="E43" s="14">
        <v>3</v>
      </c>
      <c r="F43" s="14">
        <v>494.7581444444445</v>
      </c>
      <c r="G43" s="14">
        <v>1618.24</v>
      </c>
      <c r="H43" s="14">
        <v>4.04690087890625</v>
      </c>
      <c r="I43" s="14">
        <v>905.4387047801686</v>
      </c>
      <c r="J43" s="14">
        <v>3022.48375010352</v>
      </c>
      <c r="K43" s="16"/>
      <c r="L43" s="17"/>
      <c r="N43" s="14">
        <v>1520</v>
      </c>
      <c r="O43" s="15">
        <v>0.8444444444444444</v>
      </c>
      <c r="P43" s="14">
        <v>0</v>
      </c>
      <c r="Q43" s="14">
        <v>111.36142222222222</v>
      </c>
      <c r="R43" s="14">
        <v>0</v>
      </c>
      <c r="S43" s="14">
        <v>0</v>
      </c>
      <c r="T43" s="14">
        <v>38.97649711401198</v>
      </c>
      <c r="U43" s="14">
        <v>150.3379193362342</v>
      </c>
      <c r="V43" s="16">
        <v>0.049739860249400886</v>
      </c>
      <c r="W43" s="17"/>
      <c r="Y43" s="14">
        <v>2480</v>
      </c>
      <c r="Z43" s="15">
        <v>1.3777777777777778</v>
      </c>
      <c r="AA43" s="14">
        <v>3</v>
      </c>
      <c r="AB43" s="14">
        <v>174.15955555555556</v>
      </c>
      <c r="AC43" s="14">
        <v>0</v>
      </c>
      <c r="AD43" s="14">
        <v>4.04690087890625</v>
      </c>
      <c r="AE43" s="14">
        <v>62.37225868986838</v>
      </c>
      <c r="AF43" s="14">
        <v>240.5787151243302</v>
      </c>
      <c r="AG43" s="16">
        <v>0.07959636345971766</v>
      </c>
      <c r="AH43" s="17"/>
      <c r="AJ43" s="14">
        <v>3450</v>
      </c>
      <c r="AK43" s="15">
        <v>1.9166666666666667</v>
      </c>
      <c r="AL43" s="14">
        <v>0</v>
      </c>
      <c r="AM43" s="14">
        <v>209.2371666666667</v>
      </c>
      <c r="AN43" s="14">
        <v>1618.24</v>
      </c>
      <c r="AO43" s="14">
        <v>0</v>
      </c>
      <c r="AP43" s="14">
        <v>804.0899489762883</v>
      </c>
      <c r="AQ43" s="14">
        <v>2631.5671156429553</v>
      </c>
      <c r="AR43" s="16">
        <v>0.8706637762908814</v>
      </c>
      <c r="AS43" s="17"/>
      <c r="AU43" s="14">
        <v>0</v>
      </c>
      <c r="AV43" s="15">
        <v>0</v>
      </c>
      <c r="AW43" s="14">
        <v>0</v>
      </c>
      <c r="AX43" s="14">
        <v>0</v>
      </c>
      <c r="AY43" s="14">
        <v>0</v>
      </c>
      <c r="AZ43" s="14">
        <v>0</v>
      </c>
      <c r="BA43" s="14">
        <v>0</v>
      </c>
      <c r="BB43" s="14">
        <v>0</v>
      </c>
      <c r="BC43" s="16">
        <v>0</v>
      </c>
      <c r="BD43" s="17"/>
    </row>
    <row r="44" spans="1:56" ht="12.75">
      <c r="A44" s="23" t="s">
        <v>907</v>
      </c>
      <c r="B44" s="13" t="s">
        <v>908</v>
      </c>
      <c r="C44" s="14">
        <v>3384</v>
      </c>
      <c r="D44" s="15">
        <v>1.88</v>
      </c>
      <c r="E44" s="14">
        <v>0</v>
      </c>
      <c r="F44" s="14">
        <v>193.81825111111112</v>
      </c>
      <c r="G44" s="14">
        <v>237.205</v>
      </c>
      <c r="H44" s="14">
        <v>0</v>
      </c>
      <c r="I44" s="14">
        <v>95.72072503267466</v>
      </c>
      <c r="J44" s="14">
        <v>526.7439761437857</v>
      </c>
      <c r="K44" s="16"/>
      <c r="L44" s="17"/>
      <c r="N44" s="14">
        <v>628</v>
      </c>
      <c r="O44" s="15">
        <v>0.3488888888888889</v>
      </c>
      <c r="P44" s="14">
        <v>0</v>
      </c>
      <c r="Q44" s="14">
        <v>35.401673333333335</v>
      </c>
      <c r="R44" s="14">
        <v>0</v>
      </c>
      <c r="S44" s="14">
        <v>0</v>
      </c>
      <c r="T44" s="14">
        <v>7.080334772171875</v>
      </c>
      <c r="U44" s="14">
        <v>42.48200810550521</v>
      </c>
      <c r="V44" s="16">
        <v>0.0806502020516868</v>
      </c>
      <c r="W44" s="17"/>
      <c r="Y44" s="14">
        <v>1812</v>
      </c>
      <c r="Z44" s="15">
        <v>1.0066666666666666</v>
      </c>
      <c r="AA44" s="14">
        <v>0</v>
      </c>
      <c r="AB44" s="14">
        <v>105.14645999999999</v>
      </c>
      <c r="AC44" s="14">
        <v>0</v>
      </c>
      <c r="AD44" s="14">
        <v>0</v>
      </c>
      <c r="AE44" s="14">
        <v>18.926363552066086</v>
      </c>
      <c r="AF44" s="14">
        <v>124.07282355206607</v>
      </c>
      <c r="AG44" s="16">
        <v>0.23554673460223455</v>
      </c>
      <c r="AH44" s="17"/>
      <c r="AJ44" s="14">
        <v>944</v>
      </c>
      <c r="AK44" s="15">
        <v>0.5244444444444445</v>
      </c>
      <c r="AL44" s="14">
        <v>0</v>
      </c>
      <c r="AM44" s="14">
        <v>53.27011777777778</v>
      </c>
      <c r="AN44" s="14">
        <v>237.205</v>
      </c>
      <c r="AO44" s="14">
        <v>0</v>
      </c>
      <c r="AP44" s="14">
        <v>69.7140267084367</v>
      </c>
      <c r="AQ44" s="14">
        <v>360.18914448621445</v>
      </c>
      <c r="AR44" s="16">
        <v>0.6838030633460787</v>
      </c>
      <c r="AS44" s="17"/>
      <c r="AU44" s="14">
        <v>0</v>
      </c>
      <c r="AV44" s="15">
        <v>0</v>
      </c>
      <c r="AW44" s="14">
        <v>0</v>
      </c>
      <c r="AX44" s="14">
        <v>0</v>
      </c>
      <c r="AY44" s="14">
        <v>0</v>
      </c>
      <c r="AZ44" s="14">
        <v>0</v>
      </c>
      <c r="BA44" s="14">
        <v>0</v>
      </c>
      <c r="BB44" s="14">
        <v>0</v>
      </c>
      <c r="BC44" s="16">
        <v>0</v>
      </c>
      <c r="BD44" s="17"/>
    </row>
    <row r="45" spans="1:56" ht="12.75">
      <c r="A45" s="23" t="s">
        <v>909</v>
      </c>
      <c r="B45" s="13" t="s">
        <v>910</v>
      </c>
      <c r="C45" s="14">
        <v>9520</v>
      </c>
      <c r="D45" s="15">
        <v>5.288888888888889</v>
      </c>
      <c r="E45" s="14">
        <v>5</v>
      </c>
      <c r="F45" s="14">
        <v>592.0716877777778</v>
      </c>
      <c r="G45" s="14">
        <v>1007.085</v>
      </c>
      <c r="H45" s="14">
        <v>4.594834716796875</v>
      </c>
      <c r="I45" s="14">
        <v>686.5274272787971</v>
      </c>
      <c r="J45" s="14">
        <v>2290.2789497733716</v>
      </c>
      <c r="K45" s="16"/>
      <c r="L45" s="17"/>
      <c r="N45" s="14">
        <v>1596</v>
      </c>
      <c r="O45" s="15">
        <v>0.8866666666666667</v>
      </c>
      <c r="P45" s="14">
        <v>2</v>
      </c>
      <c r="Q45" s="14">
        <v>108.2724</v>
      </c>
      <c r="R45" s="14">
        <v>0</v>
      </c>
      <c r="S45" s="14">
        <v>1.837933837890625</v>
      </c>
      <c r="T45" s="14">
        <v>42.94302862163639</v>
      </c>
      <c r="U45" s="14">
        <v>153.05336245952702</v>
      </c>
      <c r="V45" s="16">
        <v>0.06682738907182988</v>
      </c>
      <c r="W45" s="17"/>
      <c r="Y45" s="14">
        <v>4220</v>
      </c>
      <c r="Z45" s="15">
        <v>2.3444444444444446</v>
      </c>
      <c r="AA45" s="14">
        <v>3</v>
      </c>
      <c r="AB45" s="14">
        <v>269.59745000000004</v>
      </c>
      <c r="AC45" s="14">
        <v>0</v>
      </c>
      <c r="AD45" s="14">
        <v>2.75690087890625</v>
      </c>
      <c r="AE45" s="14">
        <v>106.2181929467132</v>
      </c>
      <c r="AF45" s="14">
        <v>378.5725438256195</v>
      </c>
      <c r="AG45" s="16">
        <v>0.1652953863384546</v>
      </c>
      <c r="AH45" s="17"/>
      <c r="AJ45" s="14">
        <v>3704</v>
      </c>
      <c r="AK45" s="15">
        <v>2.057777777777778</v>
      </c>
      <c r="AL45" s="14">
        <v>0</v>
      </c>
      <c r="AM45" s="14">
        <v>214.20183777777777</v>
      </c>
      <c r="AN45" s="14">
        <v>1007.085</v>
      </c>
      <c r="AO45" s="14">
        <v>0</v>
      </c>
      <c r="AP45" s="14">
        <v>537.3662057104475</v>
      </c>
      <c r="AQ45" s="14">
        <v>1758.6530434882252</v>
      </c>
      <c r="AR45" s="16">
        <v>0.7678772245897156</v>
      </c>
      <c r="AS45" s="17"/>
      <c r="AU45" s="14">
        <v>0</v>
      </c>
      <c r="AV45" s="15">
        <v>0</v>
      </c>
      <c r="AW45" s="14">
        <v>0</v>
      </c>
      <c r="AX45" s="14">
        <v>0</v>
      </c>
      <c r="AY45" s="14">
        <v>0</v>
      </c>
      <c r="AZ45" s="14">
        <v>0</v>
      </c>
      <c r="BA45" s="14">
        <v>0</v>
      </c>
      <c r="BB45" s="14">
        <v>0</v>
      </c>
      <c r="BC45" s="16">
        <v>0</v>
      </c>
      <c r="BD45" s="17"/>
    </row>
    <row r="46" spans="1:55" ht="12.75">
      <c r="A46" s="23" t="s">
        <v>911</v>
      </c>
      <c r="B46" s="19" t="s">
        <v>912</v>
      </c>
      <c r="C46" s="14">
        <v>3180</v>
      </c>
      <c r="D46" s="15">
        <v>1.7666666666666666</v>
      </c>
      <c r="E46" s="14">
        <v>0</v>
      </c>
      <c r="F46" s="14">
        <v>209.88944444444442</v>
      </c>
      <c r="G46" s="14">
        <v>51.5</v>
      </c>
      <c r="H46" s="14">
        <v>0</v>
      </c>
      <c r="I46" s="14">
        <v>57.788818187363276</v>
      </c>
      <c r="J46" s="14">
        <v>319.1782626318077</v>
      </c>
      <c r="K46" s="16"/>
      <c r="N46" s="14">
        <v>80</v>
      </c>
      <c r="O46" s="15">
        <v>0.044444444444444446</v>
      </c>
      <c r="P46" s="14">
        <v>0</v>
      </c>
      <c r="Q46" s="14">
        <v>5.807377777777778</v>
      </c>
      <c r="R46" s="14">
        <v>0</v>
      </c>
      <c r="S46" s="14">
        <v>0</v>
      </c>
      <c r="T46" s="14">
        <v>0.580737786431445</v>
      </c>
      <c r="U46" s="14">
        <v>6.388115564209223</v>
      </c>
      <c r="V46" s="16">
        <v>0.02001425633292051</v>
      </c>
      <c r="Y46" s="14">
        <v>1100</v>
      </c>
      <c r="Z46" s="15">
        <v>0.6111111111111112</v>
      </c>
      <c r="AA46" s="14">
        <v>0</v>
      </c>
      <c r="AB46" s="14">
        <v>74.30484444444444</v>
      </c>
      <c r="AC46" s="14">
        <v>0</v>
      </c>
      <c r="AD46" s="14">
        <v>0</v>
      </c>
      <c r="AE46" s="14">
        <v>11.888774845376279</v>
      </c>
      <c r="AF46" s="14">
        <v>86.19361928982072</v>
      </c>
      <c r="AG46" s="16">
        <v>0.27004852579591393</v>
      </c>
      <c r="AJ46" s="14">
        <v>2000</v>
      </c>
      <c r="AK46" s="15">
        <v>1.1111111111111112</v>
      </c>
      <c r="AL46" s="14">
        <v>0</v>
      </c>
      <c r="AM46" s="14">
        <v>129.7772222222222</v>
      </c>
      <c r="AN46" s="14">
        <v>51.5</v>
      </c>
      <c r="AO46" s="14">
        <v>0</v>
      </c>
      <c r="AP46" s="14">
        <v>45.31930555555555</v>
      </c>
      <c r="AQ46" s="14">
        <v>226.59652777777777</v>
      </c>
      <c r="AR46" s="16">
        <v>0.7099372178711656</v>
      </c>
      <c r="AU46" s="14">
        <v>0</v>
      </c>
      <c r="AV46" s="15">
        <v>0</v>
      </c>
      <c r="AW46" s="14">
        <v>0</v>
      </c>
      <c r="AX46" s="14">
        <v>0</v>
      </c>
      <c r="AY46" s="14">
        <v>0</v>
      </c>
      <c r="AZ46" s="14">
        <v>0</v>
      </c>
      <c r="BA46" s="14">
        <v>0</v>
      </c>
      <c r="BB46" s="14">
        <v>0</v>
      </c>
      <c r="BC46" s="16">
        <v>0</v>
      </c>
    </row>
    <row r="47" spans="1:55" ht="12.75">
      <c r="A47" s="23" t="s">
        <v>913</v>
      </c>
      <c r="B47" s="13" t="s">
        <v>914</v>
      </c>
      <c r="C47" s="14">
        <v>577.5</v>
      </c>
      <c r="D47" s="15">
        <v>0.32083333333333336</v>
      </c>
      <c r="E47" s="14">
        <v>0</v>
      </c>
      <c r="F47" s="14">
        <v>37.61417083333333</v>
      </c>
      <c r="G47" s="14">
        <v>69.3311</v>
      </c>
      <c r="H47" s="14">
        <v>0</v>
      </c>
      <c r="I47" s="14">
        <v>17.11124295086724</v>
      </c>
      <c r="J47" s="14">
        <v>124.05651378420058</v>
      </c>
      <c r="K47" s="16"/>
      <c r="N47" s="14">
        <v>127.5</v>
      </c>
      <c r="O47" s="15">
        <v>0.07083333333333333</v>
      </c>
      <c r="P47" s="14">
        <v>0</v>
      </c>
      <c r="Q47" s="14">
        <v>8.884649999999999</v>
      </c>
      <c r="R47" s="14">
        <v>0</v>
      </c>
      <c r="S47" s="14">
        <v>0</v>
      </c>
      <c r="T47" s="14">
        <v>1.4215439682260156</v>
      </c>
      <c r="U47" s="14">
        <v>10.306193968226015</v>
      </c>
      <c r="V47" s="16">
        <v>0.08307660479766422</v>
      </c>
      <c r="Y47" s="14">
        <v>187.5</v>
      </c>
      <c r="Z47" s="15">
        <v>0.10416666666666667</v>
      </c>
      <c r="AA47" s="14">
        <v>0</v>
      </c>
      <c r="AB47" s="14">
        <v>12.683895833333333</v>
      </c>
      <c r="AC47" s="14">
        <v>0</v>
      </c>
      <c r="AD47" s="14">
        <v>0</v>
      </c>
      <c r="AE47" s="14">
        <v>2.0294232879721865</v>
      </c>
      <c r="AF47" s="14">
        <v>14.713319121305519</v>
      </c>
      <c r="AG47" s="16">
        <v>0.11860174586962606</v>
      </c>
      <c r="AJ47" s="14">
        <v>262.5</v>
      </c>
      <c r="AK47" s="15">
        <v>0.14583333333333334</v>
      </c>
      <c r="AL47" s="14">
        <v>0</v>
      </c>
      <c r="AM47" s="14">
        <v>16.045625</v>
      </c>
      <c r="AN47" s="14">
        <v>69.3311</v>
      </c>
      <c r="AO47" s="14">
        <v>0</v>
      </c>
      <c r="AP47" s="14">
        <v>13.66027569466904</v>
      </c>
      <c r="AQ47" s="14">
        <v>99.03700069466905</v>
      </c>
      <c r="AR47" s="16">
        <v>0.7983216493327098</v>
      </c>
      <c r="AU47" s="14">
        <v>0</v>
      </c>
      <c r="AV47" s="15">
        <v>0</v>
      </c>
      <c r="AW47" s="14">
        <v>0</v>
      </c>
      <c r="AX47" s="14">
        <v>0</v>
      </c>
      <c r="AY47" s="14">
        <v>0</v>
      </c>
      <c r="AZ47" s="14">
        <v>0</v>
      </c>
      <c r="BA47" s="14">
        <v>0</v>
      </c>
      <c r="BB47" s="14">
        <v>0</v>
      </c>
      <c r="BC47" s="16">
        <v>0</v>
      </c>
    </row>
    <row r="48" spans="1:55" ht="12.75">
      <c r="A48" s="23" t="s">
        <v>915</v>
      </c>
      <c r="B48" s="19" t="s">
        <v>916</v>
      </c>
      <c r="C48" s="14">
        <v>2240</v>
      </c>
      <c r="D48" s="15">
        <v>1.2444444444444445</v>
      </c>
      <c r="E48" s="14">
        <v>0</v>
      </c>
      <c r="F48" s="14">
        <v>128.0944</v>
      </c>
      <c r="G48" s="14">
        <v>41.2</v>
      </c>
      <c r="H48" s="14">
        <v>0</v>
      </c>
      <c r="I48" s="14">
        <v>44.016542385482786</v>
      </c>
      <c r="J48" s="14">
        <v>213.31094238548278</v>
      </c>
      <c r="K48" s="16"/>
      <c r="N48" s="14">
        <v>240</v>
      </c>
      <c r="O48" s="15">
        <v>0.13333333333333333</v>
      </c>
      <c r="P48" s="14">
        <v>0</v>
      </c>
      <c r="Q48" s="14">
        <v>17.42213333333333</v>
      </c>
      <c r="R48" s="14">
        <v>0</v>
      </c>
      <c r="S48" s="14">
        <v>0</v>
      </c>
      <c r="T48" s="14">
        <v>4.529754500516256</v>
      </c>
      <c r="U48" s="14">
        <v>21.951887833849586</v>
      </c>
      <c r="V48" s="16">
        <v>0.10291027543340672</v>
      </c>
      <c r="Y48" s="14">
        <v>720</v>
      </c>
      <c r="Z48" s="15">
        <v>0.4</v>
      </c>
      <c r="AA48" s="14">
        <v>0</v>
      </c>
      <c r="AB48" s="14">
        <v>52.2664</v>
      </c>
      <c r="AC48" s="14">
        <v>0</v>
      </c>
      <c r="AD48" s="14">
        <v>0</v>
      </c>
      <c r="AE48" s="14">
        <v>13.589263501548764</v>
      </c>
      <c r="AF48" s="14">
        <v>65.85566350154876</v>
      </c>
      <c r="AG48" s="16">
        <v>0.3087308263002202</v>
      </c>
      <c r="AJ48" s="14">
        <v>1280</v>
      </c>
      <c r="AK48" s="15">
        <v>0.7111111111111111</v>
      </c>
      <c r="AL48" s="14">
        <v>0</v>
      </c>
      <c r="AM48" s="14">
        <v>58.40586666666667</v>
      </c>
      <c r="AN48" s="14">
        <v>41.2</v>
      </c>
      <c r="AO48" s="14">
        <v>0</v>
      </c>
      <c r="AP48" s="14">
        <v>25.897524383417768</v>
      </c>
      <c r="AQ48" s="14">
        <v>125.50339105008445</v>
      </c>
      <c r="AR48" s="16">
        <v>0.5883588982663731</v>
      </c>
      <c r="AU48" s="14">
        <v>0</v>
      </c>
      <c r="AV48" s="15">
        <v>0</v>
      </c>
      <c r="AW48" s="14">
        <v>0</v>
      </c>
      <c r="AX48" s="14">
        <v>0</v>
      </c>
      <c r="AY48" s="14">
        <v>0</v>
      </c>
      <c r="AZ48" s="14">
        <v>0</v>
      </c>
      <c r="BA48" s="14">
        <v>0</v>
      </c>
      <c r="BB48" s="14">
        <v>0</v>
      </c>
      <c r="BC48" s="16">
        <v>0</v>
      </c>
    </row>
    <row r="49" spans="1:55" ht="12.75">
      <c r="A49" s="23">
        <v>4.3</v>
      </c>
      <c r="B49" s="19" t="s">
        <v>917</v>
      </c>
      <c r="K49" s="22"/>
      <c r="V49" s="22"/>
      <c r="AG49" s="22"/>
      <c r="AR49" s="22"/>
      <c r="BC49" s="22"/>
    </row>
    <row r="50" spans="1:55" ht="12.75">
      <c r="A50" s="23" t="s">
        <v>918</v>
      </c>
      <c r="B50" s="19" t="s">
        <v>919</v>
      </c>
      <c r="C50" s="14">
        <v>1865</v>
      </c>
      <c r="D50" s="15">
        <v>1.0361111111111112</v>
      </c>
      <c r="E50" s="14">
        <v>2</v>
      </c>
      <c r="F50" s="14">
        <v>137.73645</v>
      </c>
      <c r="G50" s="14">
        <v>134.9</v>
      </c>
      <c r="H50" s="14">
        <v>9.693470703125</v>
      </c>
      <c r="I50" s="14">
        <v>42.349489788286206</v>
      </c>
      <c r="J50" s="14">
        <v>324.6794104914112</v>
      </c>
      <c r="K50" s="22"/>
      <c r="N50" s="14">
        <v>250</v>
      </c>
      <c r="O50" s="15">
        <v>0.1388888888888889</v>
      </c>
      <c r="P50" s="14">
        <v>0</v>
      </c>
      <c r="Q50" s="14">
        <v>19.17737222222222</v>
      </c>
      <c r="R50" s="14">
        <v>0</v>
      </c>
      <c r="S50" s="14">
        <v>0</v>
      </c>
      <c r="T50" s="14">
        <v>2.876605947639379</v>
      </c>
      <c r="U50" s="14">
        <v>22.0539781698616</v>
      </c>
      <c r="V50" s="16">
        <v>0.06792539796866792</v>
      </c>
      <c r="Y50" s="14">
        <v>870</v>
      </c>
      <c r="Z50" s="15">
        <v>0.48333333333333334</v>
      </c>
      <c r="AA50" s="14">
        <v>0</v>
      </c>
      <c r="AB50" s="14">
        <v>64.75975</v>
      </c>
      <c r="AC50" s="14">
        <v>0</v>
      </c>
      <c r="AD50" s="14">
        <v>0</v>
      </c>
      <c r="AE50" s="14">
        <v>9.713962885998189</v>
      </c>
      <c r="AF50" s="14">
        <v>74.47371288599818</v>
      </c>
      <c r="AG50" s="16">
        <v>0.22937614914749344</v>
      </c>
      <c r="AJ50" s="14">
        <v>745</v>
      </c>
      <c r="AK50" s="15">
        <v>0.41388888888888886</v>
      </c>
      <c r="AL50" s="14">
        <v>2</v>
      </c>
      <c r="AM50" s="14">
        <v>53.799327777777776</v>
      </c>
      <c r="AN50" s="14">
        <v>134.9</v>
      </c>
      <c r="AO50" s="14">
        <v>9.693470703125</v>
      </c>
      <c r="AP50" s="14">
        <v>29.75892095464864</v>
      </c>
      <c r="AQ50" s="14">
        <v>228.15171943555143</v>
      </c>
      <c r="AR50" s="16">
        <v>0.7026984528838387</v>
      </c>
      <c r="AU50" s="14">
        <v>0</v>
      </c>
      <c r="AV50" s="15">
        <v>0</v>
      </c>
      <c r="AW50" s="14">
        <v>0</v>
      </c>
      <c r="AX50" s="14">
        <v>0</v>
      </c>
      <c r="AY50" s="14">
        <v>0</v>
      </c>
      <c r="AZ50" s="14">
        <v>0</v>
      </c>
      <c r="BA50" s="14">
        <v>0</v>
      </c>
      <c r="BB50" s="14">
        <v>0</v>
      </c>
      <c r="BC50" s="16">
        <v>0</v>
      </c>
    </row>
    <row r="51" spans="1:55" ht="12.75">
      <c r="A51" s="23" t="s">
        <v>920</v>
      </c>
      <c r="B51" s="19" t="s">
        <v>921</v>
      </c>
      <c r="C51" s="14">
        <v>1695</v>
      </c>
      <c r="D51" s="15">
        <v>0.9416666666666667</v>
      </c>
      <c r="E51" s="14">
        <v>2</v>
      </c>
      <c r="F51" s="14">
        <v>125.04949444444443</v>
      </c>
      <c r="G51" s="14">
        <v>1</v>
      </c>
      <c r="H51" s="14">
        <v>9.693470703125</v>
      </c>
      <c r="I51" s="14">
        <v>20.36144558122654</v>
      </c>
      <c r="J51" s="14">
        <v>156.10441072879598</v>
      </c>
      <c r="K51" s="22"/>
      <c r="N51" s="14">
        <v>255</v>
      </c>
      <c r="O51" s="15">
        <v>0.14166666666666666</v>
      </c>
      <c r="P51" s="14">
        <v>0</v>
      </c>
      <c r="Q51" s="14">
        <v>19.66798888888889</v>
      </c>
      <c r="R51" s="14">
        <v>0</v>
      </c>
      <c r="S51" s="14">
        <v>0</v>
      </c>
      <c r="T51" s="14">
        <v>2.9501984505636822</v>
      </c>
      <c r="U51" s="14">
        <v>22.61818733945257</v>
      </c>
      <c r="V51" s="16">
        <v>0.14489140463012093</v>
      </c>
      <c r="Y51" s="14">
        <v>850</v>
      </c>
      <c r="Z51" s="15">
        <v>0.4722222222222222</v>
      </c>
      <c r="AA51" s="14">
        <v>0</v>
      </c>
      <c r="AB51" s="14">
        <v>63.80238333333333</v>
      </c>
      <c r="AC51" s="14">
        <v>0</v>
      </c>
      <c r="AD51" s="14">
        <v>0</v>
      </c>
      <c r="AE51" s="14">
        <v>9.57035788029184</v>
      </c>
      <c r="AF51" s="14">
        <v>73.37274121362518</v>
      </c>
      <c r="AG51" s="16">
        <v>0.4700234981899226</v>
      </c>
      <c r="AJ51" s="14">
        <v>590</v>
      </c>
      <c r="AK51" s="15">
        <v>0.3277777777777778</v>
      </c>
      <c r="AL51" s="14">
        <v>2</v>
      </c>
      <c r="AM51" s="14">
        <v>41.57912222222221</v>
      </c>
      <c r="AN51" s="14">
        <v>1</v>
      </c>
      <c r="AO51" s="14">
        <v>9.693470703125</v>
      </c>
      <c r="AP51" s="14">
        <v>7.840889250371015</v>
      </c>
      <c r="AQ51" s="14">
        <v>60.113482175718225</v>
      </c>
      <c r="AR51" s="16">
        <v>0.38508509717995637</v>
      </c>
      <c r="AU51" s="14">
        <v>0</v>
      </c>
      <c r="AV51" s="15">
        <v>0</v>
      </c>
      <c r="AW51" s="14">
        <v>0</v>
      </c>
      <c r="AX51" s="14">
        <v>0</v>
      </c>
      <c r="AY51" s="14">
        <v>0</v>
      </c>
      <c r="AZ51" s="14">
        <v>0</v>
      </c>
      <c r="BA51" s="14">
        <v>0</v>
      </c>
      <c r="BB51" s="14">
        <v>0</v>
      </c>
      <c r="BC51" s="16">
        <v>0</v>
      </c>
    </row>
    <row r="52" spans="1:55" ht="12.75">
      <c r="A52" s="23" t="s">
        <v>922</v>
      </c>
      <c r="B52" s="19" t="s">
        <v>923</v>
      </c>
      <c r="C52" s="14">
        <v>0</v>
      </c>
      <c r="D52" s="15">
        <v>0</v>
      </c>
      <c r="E52" s="14">
        <v>0</v>
      </c>
      <c r="F52" s="14">
        <v>0</v>
      </c>
      <c r="G52" s="14">
        <v>0</v>
      </c>
      <c r="H52" s="14">
        <v>0</v>
      </c>
      <c r="I52" s="14">
        <v>0</v>
      </c>
      <c r="J52" s="14">
        <v>0</v>
      </c>
      <c r="K52" s="22"/>
      <c r="N52" s="14">
        <v>0</v>
      </c>
      <c r="O52" s="15">
        <v>0</v>
      </c>
      <c r="P52" s="14">
        <v>0</v>
      </c>
      <c r="Q52" s="14">
        <v>0</v>
      </c>
      <c r="R52" s="14">
        <v>0</v>
      </c>
      <c r="S52" s="14">
        <v>0</v>
      </c>
      <c r="T52" s="14">
        <v>0</v>
      </c>
      <c r="U52" s="14">
        <v>0</v>
      </c>
      <c r="V52" s="16">
        <v>0</v>
      </c>
      <c r="Y52" s="14">
        <v>0</v>
      </c>
      <c r="Z52" s="15">
        <v>0</v>
      </c>
      <c r="AA52" s="14">
        <v>0</v>
      </c>
      <c r="AB52" s="14">
        <v>0</v>
      </c>
      <c r="AC52" s="14">
        <v>0</v>
      </c>
      <c r="AD52" s="14">
        <v>0</v>
      </c>
      <c r="AE52" s="14">
        <v>0</v>
      </c>
      <c r="AF52" s="14">
        <v>0</v>
      </c>
      <c r="AG52" s="16">
        <v>0</v>
      </c>
      <c r="AJ52" s="14">
        <v>0</v>
      </c>
      <c r="AK52" s="15">
        <v>0</v>
      </c>
      <c r="AL52" s="14">
        <v>0</v>
      </c>
      <c r="AM52" s="14">
        <v>0</v>
      </c>
      <c r="AN52" s="14">
        <v>0</v>
      </c>
      <c r="AO52" s="14">
        <v>0</v>
      </c>
      <c r="AP52" s="14">
        <v>0</v>
      </c>
      <c r="AQ52" s="14">
        <v>0</v>
      </c>
      <c r="AR52" s="16">
        <v>0</v>
      </c>
      <c r="AU52" s="14">
        <v>0</v>
      </c>
      <c r="AV52" s="15">
        <v>0</v>
      </c>
      <c r="AW52" s="14">
        <v>0</v>
      </c>
      <c r="AX52" s="14">
        <v>0</v>
      </c>
      <c r="AY52" s="14">
        <v>0</v>
      </c>
      <c r="AZ52" s="14">
        <v>0</v>
      </c>
      <c r="BA52" s="14">
        <v>0</v>
      </c>
      <c r="BB52" s="14">
        <v>0</v>
      </c>
      <c r="BC52" s="16">
        <v>0</v>
      </c>
    </row>
    <row r="53" spans="1:55" ht="12.75">
      <c r="A53" s="23">
        <v>4.4</v>
      </c>
      <c r="B53" s="19" t="s">
        <v>924</v>
      </c>
      <c r="K53" s="22"/>
      <c r="V53" s="22"/>
      <c r="AG53" s="22"/>
      <c r="AR53" s="22"/>
      <c r="BC53" s="22"/>
    </row>
    <row r="54" spans="1:55" ht="12.75">
      <c r="A54" s="23" t="s">
        <v>925</v>
      </c>
      <c r="B54" s="19" t="s">
        <v>926</v>
      </c>
      <c r="C54" s="14">
        <v>180</v>
      </c>
      <c r="D54" s="15">
        <v>0.1</v>
      </c>
      <c r="E54" s="14">
        <v>0</v>
      </c>
      <c r="F54" s="14">
        <v>16.152866666666668</v>
      </c>
      <c r="G54" s="14">
        <v>0</v>
      </c>
      <c r="H54" s="14">
        <v>0</v>
      </c>
      <c r="I54" s="14">
        <v>5.168917217799027</v>
      </c>
      <c r="J54" s="14">
        <v>21.321783884465695</v>
      </c>
      <c r="K54" s="22"/>
      <c r="N54" s="14">
        <v>0</v>
      </c>
      <c r="O54" s="15">
        <v>0</v>
      </c>
      <c r="P54" s="14">
        <v>0</v>
      </c>
      <c r="Q54" s="14">
        <v>0</v>
      </c>
      <c r="R54" s="14">
        <v>0</v>
      </c>
      <c r="S54" s="14">
        <v>0</v>
      </c>
      <c r="T54" s="14">
        <v>0</v>
      </c>
      <c r="U54" s="14">
        <v>0</v>
      </c>
      <c r="V54" s="16">
        <v>0</v>
      </c>
      <c r="Y54" s="14">
        <v>140</v>
      </c>
      <c r="Z54" s="15">
        <v>0.07777777777777778</v>
      </c>
      <c r="AA54" s="14">
        <v>0</v>
      </c>
      <c r="AB54" s="14">
        <v>12.738555555555555</v>
      </c>
      <c r="AC54" s="14">
        <v>0</v>
      </c>
      <c r="AD54" s="14">
        <v>0</v>
      </c>
      <c r="AE54" s="14">
        <v>4.0763376866645284</v>
      </c>
      <c r="AF54" s="14">
        <v>16.814893242220084</v>
      </c>
      <c r="AG54" s="16">
        <v>0.7886250668955905</v>
      </c>
      <c r="AJ54" s="14">
        <v>40</v>
      </c>
      <c r="AK54" s="15">
        <v>0.022222222222222223</v>
      </c>
      <c r="AL54" s="14">
        <v>0</v>
      </c>
      <c r="AM54" s="14">
        <v>3.414311111111111</v>
      </c>
      <c r="AN54" s="14">
        <v>0</v>
      </c>
      <c r="AO54" s="14">
        <v>0</v>
      </c>
      <c r="AP54" s="14">
        <v>1.0925795311344992</v>
      </c>
      <c r="AQ54" s="14">
        <v>4.50689064224561</v>
      </c>
      <c r="AR54" s="16">
        <v>0.21137493310440936</v>
      </c>
      <c r="AU54" s="14">
        <v>0</v>
      </c>
      <c r="AV54" s="15">
        <v>0</v>
      </c>
      <c r="AW54" s="14">
        <v>0</v>
      </c>
      <c r="AX54" s="14">
        <v>0</v>
      </c>
      <c r="AY54" s="14">
        <v>0</v>
      </c>
      <c r="AZ54" s="14">
        <v>0</v>
      </c>
      <c r="BA54" s="14">
        <v>0</v>
      </c>
      <c r="BB54" s="14">
        <v>0</v>
      </c>
      <c r="BC54" s="16">
        <v>0</v>
      </c>
    </row>
    <row r="55" spans="1:55" ht="12.75">
      <c r="A55" s="23" t="s">
        <v>927</v>
      </c>
      <c r="B55" s="19" t="s">
        <v>928</v>
      </c>
      <c r="C55" s="14">
        <v>980</v>
      </c>
      <c r="D55" s="15">
        <v>0.5444444444444444</v>
      </c>
      <c r="E55" s="14">
        <v>0</v>
      </c>
      <c r="F55" s="14">
        <v>77.77846666666667</v>
      </c>
      <c r="G55" s="14">
        <v>0</v>
      </c>
      <c r="H55" s="14">
        <v>0</v>
      </c>
      <c r="I55" s="14">
        <v>24.889108777018386</v>
      </c>
      <c r="J55" s="14">
        <v>102.66757544368505</v>
      </c>
      <c r="K55" s="22"/>
      <c r="N55" s="14">
        <v>140</v>
      </c>
      <c r="O55" s="15">
        <v>0.07777777777777778</v>
      </c>
      <c r="P55" s="14">
        <v>0</v>
      </c>
      <c r="Q55" s="14">
        <v>11.567122222222222</v>
      </c>
      <c r="R55" s="14">
        <v>0</v>
      </c>
      <c r="S55" s="14">
        <v>0</v>
      </c>
      <c r="T55" s="14">
        <v>3.7014790283766055</v>
      </c>
      <c r="U55" s="14">
        <v>15.268601250598827</v>
      </c>
      <c r="V55" s="16">
        <v>0.14871882563325867</v>
      </c>
      <c r="Y55" s="14">
        <v>420</v>
      </c>
      <c r="Z55" s="15">
        <v>0.23333333333333334</v>
      </c>
      <c r="AA55" s="14">
        <v>0</v>
      </c>
      <c r="AB55" s="14">
        <v>33.1695</v>
      </c>
      <c r="AC55" s="14">
        <v>0</v>
      </c>
      <c r="AD55" s="14">
        <v>0</v>
      </c>
      <c r="AE55" s="14">
        <v>10.614239762753249</v>
      </c>
      <c r="AF55" s="14">
        <v>43.78373976275325</v>
      </c>
      <c r="AG55" s="16">
        <v>0.4264612227720269</v>
      </c>
      <c r="AJ55" s="14">
        <v>420</v>
      </c>
      <c r="AK55" s="15">
        <v>0.23333333333333334</v>
      </c>
      <c r="AL55" s="14">
        <v>0</v>
      </c>
      <c r="AM55" s="14">
        <v>33.04184444444444</v>
      </c>
      <c r="AN55" s="14">
        <v>0</v>
      </c>
      <c r="AO55" s="14">
        <v>0</v>
      </c>
      <c r="AP55" s="14">
        <v>10.573389985888534</v>
      </c>
      <c r="AQ55" s="14">
        <v>43.615234430332976</v>
      </c>
      <c r="AR55" s="16">
        <v>0.4248199515947144</v>
      </c>
      <c r="AU55" s="14">
        <v>0</v>
      </c>
      <c r="AV55" s="15">
        <v>0</v>
      </c>
      <c r="AW55" s="14">
        <v>0</v>
      </c>
      <c r="AX55" s="14">
        <v>0</v>
      </c>
      <c r="AY55" s="14">
        <v>0</v>
      </c>
      <c r="AZ55" s="14">
        <v>0</v>
      </c>
      <c r="BA55" s="14">
        <v>0</v>
      </c>
      <c r="BB55" s="14">
        <v>0</v>
      </c>
      <c r="BC55" s="16">
        <v>0</v>
      </c>
    </row>
    <row r="56" spans="1:55" ht="12.75">
      <c r="A56" s="23" t="s">
        <v>929</v>
      </c>
      <c r="B56" s="19" t="s">
        <v>930</v>
      </c>
      <c r="C56" s="14">
        <v>4560</v>
      </c>
      <c r="D56" s="15">
        <v>2.533333333333333</v>
      </c>
      <c r="E56" s="14">
        <v>0</v>
      </c>
      <c r="F56" s="14">
        <v>265.5218</v>
      </c>
      <c r="G56" s="14">
        <v>0</v>
      </c>
      <c r="H56" s="14">
        <v>0</v>
      </c>
      <c r="I56" s="14">
        <v>100.89828273389341</v>
      </c>
      <c r="J56" s="14">
        <v>366.4200827338934</v>
      </c>
      <c r="K56" s="22"/>
      <c r="N56" s="14">
        <v>230</v>
      </c>
      <c r="O56" s="15">
        <v>0.12777777777777777</v>
      </c>
      <c r="P56" s="14">
        <v>0</v>
      </c>
      <c r="Q56" s="14">
        <v>18.611044444444445</v>
      </c>
      <c r="R56" s="14">
        <v>0</v>
      </c>
      <c r="S56" s="14">
        <v>0</v>
      </c>
      <c r="T56" s="14">
        <v>7.072196800144513</v>
      </c>
      <c r="U56" s="14">
        <v>25.68324124458896</v>
      </c>
      <c r="V56" s="16">
        <v>0.07009234060798189</v>
      </c>
      <c r="Y56" s="14">
        <v>650</v>
      </c>
      <c r="Z56" s="15">
        <v>0.3611111111111111</v>
      </c>
      <c r="AA56" s="14">
        <v>0</v>
      </c>
      <c r="AB56" s="14">
        <v>51.39757777777778</v>
      </c>
      <c r="AC56" s="14">
        <v>0</v>
      </c>
      <c r="AD56" s="14">
        <v>0</v>
      </c>
      <c r="AE56" s="14">
        <v>19.53107931047281</v>
      </c>
      <c r="AF56" s="14">
        <v>70.92865708825059</v>
      </c>
      <c r="AG56" s="16">
        <v>0.19357196952482913</v>
      </c>
      <c r="AJ56" s="14">
        <v>3680</v>
      </c>
      <c r="AK56" s="15">
        <v>2.0444444444444443</v>
      </c>
      <c r="AL56" s="14">
        <v>0</v>
      </c>
      <c r="AM56" s="14">
        <v>195.5131777777778</v>
      </c>
      <c r="AN56" s="14">
        <v>0</v>
      </c>
      <c r="AO56" s="14">
        <v>0</v>
      </c>
      <c r="AP56" s="14">
        <v>74.29500662327608</v>
      </c>
      <c r="AQ56" s="14">
        <v>269.8081844010539</v>
      </c>
      <c r="AR56" s="16">
        <v>0.736335689867189</v>
      </c>
      <c r="AU56" s="14">
        <v>0</v>
      </c>
      <c r="AV56" s="15">
        <v>0</v>
      </c>
      <c r="AW56" s="14">
        <v>0</v>
      </c>
      <c r="AX56" s="14">
        <v>0</v>
      </c>
      <c r="AY56" s="14">
        <v>0</v>
      </c>
      <c r="AZ56" s="14">
        <v>0</v>
      </c>
      <c r="BA56" s="14">
        <v>0</v>
      </c>
      <c r="BB56" s="14">
        <v>0</v>
      </c>
      <c r="BC56" s="16">
        <v>0</v>
      </c>
    </row>
    <row r="57" spans="1:55" ht="12.75">
      <c r="A57" s="23" t="s">
        <v>931</v>
      </c>
      <c r="B57" s="19" t="s">
        <v>932</v>
      </c>
      <c r="C57" s="14">
        <v>3755</v>
      </c>
      <c r="D57" s="15">
        <v>2.0861111111111112</v>
      </c>
      <c r="E57" s="14">
        <v>0</v>
      </c>
      <c r="F57" s="14">
        <v>223.1987388888889</v>
      </c>
      <c r="G57" s="14">
        <v>0</v>
      </c>
      <c r="H57" s="14">
        <v>0</v>
      </c>
      <c r="I57" s="14">
        <v>84.81551971348325</v>
      </c>
      <c r="J57" s="14">
        <v>308.01425860237214</v>
      </c>
      <c r="K57" s="22"/>
      <c r="N57" s="14">
        <v>240</v>
      </c>
      <c r="O57" s="15">
        <v>0.13333333333333333</v>
      </c>
      <c r="P57" s="14">
        <v>0</v>
      </c>
      <c r="Q57" s="14">
        <v>19.847588888888886</v>
      </c>
      <c r="R57" s="14">
        <v>0</v>
      </c>
      <c r="S57" s="14">
        <v>0</v>
      </c>
      <c r="T57" s="14">
        <v>7.542083683137099</v>
      </c>
      <c r="U57" s="14">
        <v>27.389672572025987</v>
      </c>
      <c r="V57" s="16">
        <v>0.08892339171669453</v>
      </c>
      <c r="Y57" s="14">
        <v>495</v>
      </c>
      <c r="Z57" s="15">
        <v>0.275</v>
      </c>
      <c r="AA57" s="14">
        <v>0</v>
      </c>
      <c r="AB57" s="14">
        <v>35.933150000000005</v>
      </c>
      <c r="AC57" s="14">
        <v>0</v>
      </c>
      <c r="AD57" s="14">
        <v>0</v>
      </c>
      <c r="AE57" s="14">
        <v>13.65459682865739</v>
      </c>
      <c r="AF57" s="14">
        <v>49.587746828657394</v>
      </c>
      <c r="AG57" s="16">
        <v>0.16099172503787296</v>
      </c>
      <c r="AJ57" s="14">
        <v>3020</v>
      </c>
      <c r="AK57" s="15">
        <v>1.6777777777777778</v>
      </c>
      <c r="AL57" s="14">
        <v>0</v>
      </c>
      <c r="AM57" s="14">
        <v>167.418</v>
      </c>
      <c r="AN57" s="14">
        <v>0</v>
      </c>
      <c r="AO57" s="14">
        <v>0</v>
      </c>
      <c r="AP57" s="14">
        <v>63.618839201688765</v>
      </c>
      <c r="AQ57" s="14">
        <v>231.03683920168876</v>
      </c>
      <c r="AR57" s="16">
        <v>0.7500848832454325</v>
      </c>
      <c r="AU57" s="14">
        <v>0</v>
      </c>
      <c r="AV57" s="15">
        <v>0</v>
      </c>
      <c r="AW57" s="14">
        <v>0</v>
      </c>
      <c r="AX57" s="14">
        <v>0</v>
      </c>
      <c r="AY57" s="14">
        <v>0</v>
      </c>
      <c r="AZ57" s="14">
        <v>0</v>
      </c>
      <c r="BA57" s="14">
        <v>0</v>
      </c>
      <c r="BB57" s="14">
        <v>0</v>
      </c>
      <c r="BC57" s="16">
        <v>0</v>
      </c>
    </row>
    <row r="58" spans="1:55" ht="12.75">
      <c r="A58" s="23" t="s">
        <v>933</v>
      </c>
      <c r="B58" s="19" t="s">
        <v>934</v>
      </c>
      <c r="C58" s="14">
        <v>760</v>
      </c>
      <c r="D58" s="15">
        <v>0.4222222222222222</v>
      </c>
      <c r="E58" s="14">
        <v>0</v>
      </c>
      <c r="F58" s="14">
        <v>57.45463333333333</v>
      </c>
      <c r="G58" s="14">
        <v>179.735</v>
      </c>
      <c r="H58" s="14">
        <v>0</v>
      </c>
      <c r="I58" s="14">
        <v>87.38658742656311</v>
      </c>
      <c r="J58" s="14">
        <v>324.57622075989644</v>
      </c>
      <c r="K58" s="22"/>
      <c r="N58" s="14">
        <v>60</v>
      </c>
      <c r="O58" s="15">
        <v>0.03333333333333333</v>
      </c>
      <c r="P58" s="14">
        <v>0</v>
      </c>
      <c r="Q58" s="14">
        <v>5.121466666666667</v>
      </c>
      <c r="R58" s="14">
        <v>0</v>
      </c>
      <c r="S58" s="14">
        <v>0</v>
      </c>
      <c r="T58" s="14">
        <v>1.638869296701749</v>
      </c>
      <c r="U58" s="14">
        <v>6.760335963368416</v>
      </c>
      <c r="V58" s="16">
        <v>0.020828192365852146</v>
      </c>
      <c r="Y58" s="14">
        <v>500</v>
      </c>
      <c r="Z58" s="15">
        <v>0.2777777777777778</v>
      </c>
      <c r="AA58" s="14">
        <v>0</v>
      </c>
      <c r="AB58" s="14">
        <v>40.636399999999995</v>
      </c>
      <c r="AC58" s="14">
        <v>0</v>
      </c>
      <c r="AD58" s="14">
        <v>0</v>
      </c>
      <c r="AE58" s="14">
        <v>13.003647709345817</v>
      </c>
      <c r="AF58" s="14">
        <v>53.64004770934581</v>
      </c>
      <c r="AG58" s="16">
        <v>0.16526179146384773</v>
      </c>
      <c r="AJ58" s="14">
        <v>200</v>
      </c>
      <c r="AK58" s="15">
        <v>0.1111111111111111</v>
      </c>
      <c r="AL58" s="14">
        <v>0</v>
      </c>
      <c r="AM58" s="14">
        <v>11.696766666666667</v>
      </c>
      <c r="AN58" s="14">
        <v>179.735</v>
      </c>
      <c r="AO58" s="14">
        <v>0</v>
      </c>
      <c r="AP58" s="14">
        <v>72.74407042051554</v>
      </c>
      <c r="AQ58" s="14">
        <v>264.17583708718223</v>
      </c>
      <c r="AR58" s="16">
        <v>0.8139100161703001</v>
      </c>
      <c r="AU58" s="14">
        <v>0</v>
      </c>
      <c r="AV58" s="15">
        <v>0</v>
      </c>
      <c r="AW58" s="14">
        <v>0</v>
      </c>
      <c r="AX58" s="14">
        <v>0</v>
      </c>
      <c r="AY58" s="14">
        <v>0</v>
      </c>
      <c r="AZ58" s="14">
        <v>0</v>
      </c>
      <c r="BA58" s="14">
        <v>0</v>
      </c>
      <c r="BB58" s="14">
        <v>0</v>
      </c>
      <c r="BC58" s="16">
        <v>0</v>
      </c>
    </row>
    <row r="59" spans="1:55" ht="12.75">
      <c r="A59" s="23" t="s">
        <v>935</v>
      </c>
      <c r="B59" s="19" t="s">
        <v>936</v>
      </c>
      <c r="C59" s="14">
        <v>760</v>
      </c>
      <c r="D59" s="15">
        <v>0.4222222222222222</v>
      </c>
      <c r="E59" s="14">
        <v>0</v>
      </c>
      <c r="F59" s="14">
        <v>56.56104444444445</v>
      </c>
      <c r="G59" s="14">
        <v>49.44</v>
      </c>
      <c r="H59" s="14">
        <v>0</v>
      </c>
      <c r="I59" s="14">
        <v>37.58853960980508</v>
      </c>
      <c r="J59" s="14">
        <v>143.58958405424954</v>
      </c>
      <c r="K59" s="22"/>
      <c r="N59" s="14">
        <v>160</v>
      </c>
      <c r="O59" s="15">
        <v>0.08888888888888889</v>
      </c>
      <c r="P59" s="14">
        <v>0</v>
      </c>
      <c r="Q59" s="14">
        <v>13.274277777777778</v>
      </c>
      <c r="R59" s="14">
        <v>0</v>
      </c>
      <c r="S59" s="14">
        <v>0</v>
      </c>
      <c r="T59" s="14">
        <v>4.247768793943855</v>
      </c>
      <c r="U59" s="14">
        <v>17.52204657172163</v>
      </c>
      <c r="V59" s="16">
        <v>0.1220286742045414</v>
      </c>
      <c r="Y59" s="14">
        <v>400</v>
      </c>
      <c r="Z59" s="15">
        <v>0.2222222222222222</v>
      </c>
      <c r="AA59" s="14">
        <v>0</v>
      </c>
      <c r="AB59" s="14">
        <v>31.59</v>
      </c>
      <c r="AC59" s="14">
        <v>0</v>
      </c>
      <c r="AD59" s="14">
        <v>0</v>
      </c>
      <c r="AE59" s="14">
        <v>10.108799774050713</v>
      </c>
      <c r="AF59" s="14">
        <v>41.69879977405071</v>
      </c>
      <c r="AG59" s="16">
        <v>0.2904026782213987</v>
      </c>
      <c r="AJ59" s="14">
        <v>200</v>
      </c>
      <c r="AK59" s="15">
        <v>0.1111111111111111</v>
      </c>
      <c r="AL59" s="14">
        <v>0</v>
      </c>
      <c r="AM59" s="14">
        <v>11.696766666666667</v>
      </c>
      <c r="AN59" s="14">
        <v>49.44</v>
      </c>
      <c r="AO59" s="14">
        <v>0</v>
      </c>
      <c r="AP59" s="14">
        <v>23.23197104181051</v>
      </c>
      <c r="AQ59" s="14">
        <v>84.36873770847717</v>
      </c>
      <c r="AR59" s="16">
        <v>0.5875686475740597</v>
      </c>
      <c r="AU59" s="14">
        <v>0</v>
      </c>
      <c r="AV59" s="15">
        <v>0</v>
      </c>
      <c r="AW59" s="14">
        <v>0</v>
      </c>
      <c r="AX59" s="14">
        <v>0</v>
      </c>
      <c r="AY59" s="14">
        <v>0</v>
      </c>
      <c r="AZ59" s="14">
        <v>0</v>
      </c>
      <c r="BA59" s="14">
        <v>0</v>
      </c>
      <c r="BB59" s="14">
        <v>0</v>
      </c>
      <c r="BC59" s="16">
        <v>0</v>
      </c>
    </row>
    <row r="60" spans="1:55" ht="12.75">
      <c r="A60" s="23" t="s">
        <v>937</v>
      </c>
      <c r="B60" s="19" t="s">
        <v>938</v>
      </c>
      <c r="C60" s="14">
        <v>320</v>
      </c>
      <c r="D60" s="15">
        <v>0.17777777777777778</v>
      </c>
      <c r="E60" s="14">
        <v>0</v>
      </c>
      <c r="F60" s="14">
        <v>25.49062222222222</v>
      </c>
      <c r="G60" s="14">
        <v>52.53</v>
      </c>
      <c r="H60" s="14">
        <v>0</v>
      </c>
      <c r="I60" s="14">
        <v>28.244462683314747</v>
      </c>
      <c r="J60" s="14">
        <v>106.26508490553697</v>
      </c>
      <c r="K60" s="22"/>
      <c r="N60" s="14">
        <v>0</v>
      </c>
      <c r="O60" s="15">
        <v>0</v>
      </c>
      <c r="P60" s="14">
        <v>0</v>
      </c>
      <c r="Q60" s="14">
        <v>0</v>
      </c>
      <c r="R60" s="14">
        <v>0</v>
      </c>
      <c r="S60" s="14">
        <v>0</v>
      </c>
      <c r="T60" s="14">
        <v>0</v>
      </c>
      <c r="U60" s="14">
        <v>0</v>
      </c>
      <c r="V60" s="16">
        <v>0</v>
      </c>
      <c r="Y60" s="14">
        <v>280</v>
      </c>
      <c r="Z60" s="15">
        <v>0.15555555555555556</v>
      </c>
      <c r="AA60" s="14">
        <v>0</v>
      </c>
      <c r="AB60" s="14">
        <v>23.389555555555553</v>
      </c>
      <c r="AC60" s="14">
        <v>0</v>
      </c>
      <c r="AD60" s="14">
        <v>0</v>
      </c>
      <c r="AE60" s="14">
        <v>7.484657610482639</v>
      </c>
      <c r="AF60" s="14">
        <v>30.874213166038192</v>
      </c>
      <c r="AG60" s="16">
        <v>0.29053958027214155</v>
      </c>
      <c r="AJ60" s="14">
        <v>40</v>
      </c>
      <c r="AK60" s="15">
        <v>0.022222222222222223</v>
      </c>
      <c r="AL60" s="14">
        <v>0</v>
      </c>
      <c r="AM60" s="14">
        <v>2.1010666666666666</v>
      </c>
      <c r="AN60" s="14">
        <v>52.53</v>
      </c>
      <c r="AO60" s="14">
        <v>0</v>
      </c>
      <c r="AP60" s="14">
        <v>20.75980507283211</v>
      </c>
      <c r="AQ60" s="14">
        <v>75.39087173949878</v>
      </c>
      <c r="AR60" s="16">
        <v>0.7094604197278586</v>
      </c>
      <c r="AU60" s="14">
        <v>0</v>
      </c>
      <c r="AV60" s="15">
        <v>0</v>
      </c>
      <c r="AW60" s="14">
        <v>0</v>
      </c>
      <c r="AX60" s="14">
        <v>0</v>
      </c>
      <c r="AY60" s="14">
        <v>0</v>
      </c>
      <c r="AZ60" s="14">
        <v>0</v>
      </c>
      <c r="BA60" s="14">
        <v>0</v>
      </c>
      <c r="BB60" s="14">
        <v>0</v>
      </c>
      <c r="BC60" s="16">
        <v>0</v>
      </c>
    </row>
    <row r="61" spans="1:55" ht="12.75">
      <c r="A61" s="23" t="s">
        <v>939</v>
      </c>
      <c r="B61" s="19" t="s">
        <v>940</v>
      </c>
      <c r="C61" s="14">
        <v>760</v>
      </c>
      <c r="D61" s="15">
        <v>0.4222222222222222</v>
      </c>
      <c r="E61" s="14">
        <v>0</v>
      </c>
      <c r="F61" s="14">
        <v>60.69156666666667</v>
      </c>
      <c r="G61" s="14">
        <v>0</v>
      </c>
      <c r="H61" s="14">
        <v>0</v>
      </c>
      <c r="I61" s="14">
        <v>19.421300899233422</v>
      </c>
      <c r="J61" s="14">
        <v>80.11286756590009</v>
      </c>
      <c r="K61" s="22"/>
      <c r="N61" s="14">
        <v>160</v>
      </c>
      <c r="O61" s="15">
        <v>0.08888888888888889</v>
      </c>
      <c r="P61" s="14">
        <v>0</v>
      </c>
      <c r="Q61" s="14">
        <v>13.018966666666667</v>
      </c>
      <c r="R61" s="14">
        <v>0</v>
      </c>
      <c r="S61" s="14">
        <v>0</v>
      </c>
      <c r="T61" s="14">
        <v>4.166069240214428</v>
      </c>
      <c r="U61" s="14">
        <v>17.185035906881097</v>
      </c>
      <c r="V61" s="16">
        <v>0.21451030813177233</v>
      </c>
      <c r="Y61" s="14">
        <v>480</v>
      </c>
      <c r="Z61" s="15">
        <v>0.26666666666666666</v>
      </c>
      <c r="AA61" s="14">
        <v>0</v>
      </c>
      <c r="AB61" s="14">
        <v>39.43986666666667</v>
      </c>
      <c r="AC61" s="14">
        <v>0</v>
      </c>
      <c r="AD61" s="14">
        <v>0</v>
      </c>
      <c r="AE61" s="14">
        <v>12.620757051237424</v>
      </c>
      <c r="AF61" s="14">
        <v>52.06062371790409</v>
      </c>
      <c r="AG61" s="16">
        <v>0.6498409718648445</v>
      </c>
      <c r="AJ61" s="14">
        <v>120</v>
      </c>
      <c r="AK61" s="15">
        <v>0.06666666666666667</v>
      </c>
      <c r="AL61" s="14">
        <v>0</v>
      </c>
      <c r="AM61" s="14">
        <v>8.232733333333334</v>
      </c>
      <c r="AN61" s="14">
        <v>0</v>
      </c>
      <c r="AO61" s="14">
        <v>0</v>
      </c>
      <c r="AP61" s="14">
        <v>2.6344746077815695</v>
      </c>
      <c r="AQ61" s="14">
        <v>10.867207941114904</v>
      </c>
      <c r="AR61" s="16">
        <v>0.13564872000338324</v>
      </c>
      <c r="AU61" s="14">
        <v>0</v>
      </c>
      <c r="AV61" s="15">
        <v>0</v>
      </c>
      <c r="AW61" s="14">
        <v>0</v>
      </c>
      <c r="AX61" s="14">
        <v>0</v>
      </c>
      <c r="AY61" s="14">
        <v>0</v>
      </c>
      <c r="AZ61" s="14">
        <v>0</v>
      </c>
      <c r="BA61" s="14">
        <v>0</v>
      </c>
      <c r="BB61" s="14">
        <v>0</v>
      </c>
      <c r="BC61" s="16">
        <v>0</v>
      </c>
    </row>
    <row r="62" spans="1:55" ht="12.75">
      <c r="A62" s="13">
        <v>4.5</v>
      </c>
      <c r="B62" s="19" t="s">
        <v>941</v>
      </c>
      <c r="K62" s="22"/>
      <c r="V62" s="22"/>
      <c r="AG62" s="22"/>
      <c r="AR62" s="22"/>
      <c r="BC62" s="22"/>
    </row>
    <row r="63" spans="1:55" ht="12.75">
      <c r="A63" s="23" t="s">
        <v>942</v>
      </c>
      <c r="B63" s="19" t="s">
        <v>943</v>
      </c>
      <c r="C63" s="14">
        <v>13778.79995727539</v>
      </c>
      <c r="D63" s="15">
        <v>7.654888865152995</v>
      </c>
      <c r="E63" s="14">
        <v>5</v>
      </c>
      <c r="F63" s="14">
        <v>667.3105900299411</v>
      </c>
      <c r="G63" s="14">
        <v>1067.3220000000001</v>
      </c>
      <c r="H63" s="14">
        <v>15.878675537109377</v>
      </c>
      <c r="I63" s="14">
        <v>490.14315644554625</v>
      </c>
      <c r="J63" s="14">
        <v>2240.6544220125966</v>
      </c>
      <c r="K63" s="22"/>
      <c r="N63" s="14">
        <v>3036.6000061035156</v>
      </c>
      <c r="O63" s="15">
        <v>1.687000003390842</v>
      </c>
      <c r="P63" s="14">
        <v>0</v>
      </c>
      <c r="Q63" s="14">
        <v>146.72984348778618</v>
      </c>
      <c r="R63" s="14">
        <v>15.862</v>
      </c>
      <c r="S63" s="14">
        <v>0</v>
      </c>
      <c r="T63" s="14">
        <v>45.525716370404716</v>
      </c>
      <c r="U63" s="14">
        <v>208.1175598581909</v>
      </c>
      <c r="V63" s="16">
        <v>0.09288248906819639</v>
      </c>
      <c r="Y63" s="14">
        <v>10154.199951171875</v>
      </c>
      <c r="Z63" s="15">
        <v>5.641222195095486</v>
      </c>
      <c r="AA63" s="14">
        <v>1</v>
      </c>
      <c r="AB63" s="14">
        <v>484.9716843199327</v>
      </c>
      <c r="AC63" s="14">
        <v>28.84</v>
      </c>
      <c r="AD63" s="14">
        <v>2.911735107421875</v>
      </c>
      <c r="AE63" s="14">
        <v>144.6825580556416</v>
      </c>
      <c r="AF63" s="14">
        <v>661.4059774829963</v>
      </c>
      <c r="AG63" s="16">
        <v>0.29518428678033687</v>
      </c>
      <c r="AJ63" s="14">
        <v>588</v>
      </c>
      <c r="AK63" s="15">
        <v>0.32666666666666666</v>
      </c>
      <c r="AL63" s="14">
        <v>4</v>
      </c>
      <c r="AM63" s="14">
        <v>35.60906222222222</v>
      </c>
      <c r="AN63" s="14">
        <v>1022.62</v>
      </c>
      <c r="AO63" s="14">
        <v>12.9669404296875</v>
      </c>
      <c r="AP63" s="14">
        <v>299.9348820194999</v>
      </c>
      <c r="AQ63" s="14">
        <v>1371.1308846714096</v>
      </c>
      <c r="AR63" s="16">
        <v>0.6119332241514668</v>
      </c>
      <c r="AU63" s="14">
        <v>0</v>
      </c>
      <c r="AV63" s="15">
        <v>0</v>
      </c>
      <c r="AW63" s="14">
        <v>0</v>
      </c>
      <c r="AX63" s="14">
        <v>0</v>
      </c>
      <c r="AY63" s="14">
        <v>0</v>
      </c>
      <c r="AZ63" s="14">
        <v>0</v>
      </c>
      <c r="BA63" s="14">
        <v>0</v>
      </c>
      <c r="BB63" s="14">
        <v>0</v>
      </c>
      <c r="BC63" s="16">
        <v>0</v>
      </c>
    </row>
    <row r="64" spans="1:55" ht="12.75">
      <c r="A64" s="23" t="s">
        <v>944</v>
      </c>
      <c r="B64" s="19" t="s">
        <v>945</v>
      </c>
      <c r="C64" s="14">
        <v>3040</v>
      </c>
      <c r="D64" s="15">
        <v>1.6888888888888889</v>
      </c>
      <c r="E64" s="14">
        <v>2</v>
      </c>
      <c r="F64" s="14">
        <v>211.52337777777777</v>
      </c>
      <c r="G64" s="14">
        <v>1483.2</v>
      </c>
      <c r="H64" s="14">
        <v>5.62347021484375</v>
      </c>
      <c r="I64" s="14">
        <v>331.5324564445179</v>
      </c>
      <c r="J64" s="14">
        <v>2031.8793044371396</v>
      </c>
      <c r="K64" s="22"/>
      <c r="N64" s="14">
        <v>320</v>
      </c>
      <c r="O64" s="15">
        <v>0.17777777777777778</v>
      </c>
      <c r="P64" s="14">
        <v>1</v>
      </c>
      <c r="Q64" s="14">
        <v>25.272</v>
      </c>
      <c r="R64" s="14">
        <v>0</v>
      </c>
      <c r="S64" s="14">
        <v>2.811735107421875</v>
      </c>
      <c r="T64" s="14">
        <v>3.3700481375641775</v>
      </c>
      <c r="U64" s="14">
        <v>31.45378324498605</v>
      </c>
      <c r="V64" s="16">
        <v>0.015480143518514358</v>
      </c>
      <c r="Y64" s="14">
        <v>960</v>
      </c>
      <c r="Z64" s="15">
        <v>0.5333333333333333</v>
      </c>
      <c r="AA64" s="14">
        <v>1</v>
      </c>
      <c r="AB64" s="14">
        <v>75.816</v>
      </c>
      <c r="AC64" s="14">
        <v>0</v>
      </c>
      <c r="AD64" s="14">
        <v>2.811735107421875</v>
      </c>
      <c r="AE64" s="14">
        <v>9.435328001994606</v>
      </c>
      <c r="AF64" s="14">
        <v>88.06306310941649</v>
      </c>
      <c r="AG64" s="16">
        <v>0.04334069593459994</v>
      </c>
      <c r="AJ64" s="14">
        <v>1760</v>
      </c>
      <c r="AK64" s="15">
        <v>0.9777777777777777</v>
      </c>
      <c r="AL64" s="14">
        <v>0</v>
      </c>
      <c r="AM64" s="14">
        <v>110.43537777777777</v>
      </c>
      <c r="AN64" s="14">
        <v>1483.2</v>
      </c>
      <c r="AO64" s="14">
        <v>0</v>
      </c>
      <c r="AP64" s="14">
        <v>318.7270803049591</v>
      </c>
      <c r="AQ64" s="14">
        <v>1912.362458082737</v>
      </c>
      <c r="AR64" s="16">
        <v>0.9411791605468857</v>
      </c>
      <c r="AU64" s="14">
        <v>0</v>
      </c>
      <c r="AV64" s="15">
        <v>0</v>
      </c>
      <c r="AW64" s="14">
        <v>0</v>
      </c>
      <c r="AX64" s="14">
        <v>0</v>
      </c>
      <c r="AY64" s="14">
        <v>0</v>
      </c>
      <c r="AZ64" s="14">
        <v>0</v>
      </c>
      <c r="BA64" s="14">
        <v>0</v>
      </c>
      <c r="BB64" s="14">
        <v>0</v>
      </c>
      <c r="BC64" s="16">
        <v>0</v>
      </c>
    </row>
    <row r="65" spans="1:55" ht="12.75">
      <c r="A65" s="13">
        <v>4.6</v>
      </c>
      <c r="B65" s="19" t="s">
        <v>946</v>
      </c>
      <c r="C65" s="14">
        <v>8480</v>
      </c>
      <c r="D65" s="15">
        <v>4.711111111111111</v>
      </c>
      <c r="E65" s="14">
        <v>12</v>
      </c>
      <c r="F65" s="14">
        <v>689.7959333333333</v>
      </c>
      <c r="G65" s="14">
        <v>112.7</v>
      </c>
      <c r="H65" s="14">
        <v>82.670828125</v>
      </c>
      <c r="I65" s="14">
        <v>200.506798319659</v>
      </c>
      <c r="J65" s="14">
        <v>1085.6735597779923</v>
      </c>
      <c r="K65" s="22"/>
      <c r="N65" s="14">
        <v>200</v>
      </c>
      <c r="O65" s="15">
        <v>0.1111111111111111</v>
      </c>
      <c r="P65" s="14">
        <v>0</v>
      </c>
      <c r="Q65" s="14">
        <v>20.157822222222226</v>
      </c>
      <c r="R65" s="14">
        <v>0</v>
      </c>
      <c r="S65" s="14">
        <v>0</v>
      </c>
      <c r="T65" s="14">
        <v>1.007891126129859</v>
      </c>
      <c r="U65" s="14">
        <v>21.165713348352085</v>
      </c>
      <c r="V65" s="16">
        <v>0.019495467267969784</v>
      </c>
      <c r="Y65" s="14">
        <v>1200</v>
      </c>
      <c r="Z65" s="15">
        <v>0.6666666666666666</v>
      </c>
      <c r="AA65" s="14">
        <v>0</v>
      </c>
      <c r="AB65" s="14">
        <v>107.23255555555555</v>
      </c>
      <c r="AC65" s="14">
        <v>0</v>
      </c>
      <c r="AD65" s="14">
        <v>0</v>
      </c>
      <c r="AE65" s="14">
        <v>10.723255715344514</v>
      </c>
      <c r="AF65" s="14">
        <v>117.95581127090006</v>
      </c>
      <c r="AG65" s="16">
        <v>0.10864758583143598</v>
      </c>
      <c r="AJ65" s="14">
        <v>7000</v>
      </c>
      <c r="AK65" s="15">
        <v>3.888888888888889</v>
      </c>
      <c r="AL65" s="14">
        <v>12</v>
      </c>
      <c r="AM65" s="14">
        <v>559.0633333333334</v>
      </c>
      <c r="AN65" s="14">
        <v>112.7</v>
      </c>
      <c r="AO65" s="14">
        <v>82.670828125</v>
      </c>
      <c r="AP65" s="14">
        <v>188.60854036458335</v>
      </c>
      <c r="AQ65" s="14">
        <v>943.0427018229168</v>
      </c>
      <c r="AR65" s="16">
        <v>0.8686245449467869</v>
      </c>
      <c r="AU65" s="14">
        <v>80</v>
      </c>
      <c r="AV65" s="15">
        <v>0.044444444444444446</v>
      </c>
      <c r="AW65" s="14">
        <v>0</v>
      </c>
      <c r="AX65" s="14">
        <v>3.342222222222222</v>
      </c>
      <c r="AY65" s="14">
        <v>0</v>
      </c>
      <c r="AZ65" s="14">
        <v>0</v>
      </c>
      <c r="BA65" s="14">
        <v>0.1671111136012607</v>
      </c>
      <c r="BB65" s="14">
        <v>3.5093333358234826</v>
      </c>
      <c r="BC65" s="16">
        <v>0.0032324019538074603</v>
      </c>
    </row>
    <row r="66" spans="1:56" ht="12.75">
      <c r="A66" s="8">
        <v>5</v>
      </c>
      <c r="B66" s="9" t="s">
        <v>947</v>
      </c>
      <c r="C66" s="25"/>
      <c r="D66" s="25"/>
      <c r="E66" s="25"/>
      <c r="F66" s="25"/>
      <c r="G66" s="25"/>
      <c r="H66" s="25"/>
      <c r="I66" s="25"/>
      <c r="J66" s="25"/>
      <c r="K66" s="11">
        <v>0.2584920363046229</v>
      </c>
      <c r="L66" s="12">
        <v>10915.285081201297</v>
      </c>
      <c r="N66" s="25"/>
      <c r="O66" s="25"/>
      <c r="P66" s="25"/>
      <c r="Q66" s="25"/>
      <c r="R66" s="25"/>
      <c r="S66" s="25"/>
      <c r="T66" s="25"/>
      <c r="U66" s="25"/>
      <c r="V66" s="25"/>
      <c r="W66" s="12">
        <v>339.2498195468377</v>
      </c>
      <c r="Y66" s="25"/>
      <c r="Z66" s="25"/>
      <c r="AA66" s="25"/>
      <c r="AB66" s="25"/>
      <c r="AC66" s="25"/>
      <c r="AD66" s="25"/>
      <c r="AE66" s="25"/>
      <c r="AF66" s="25"/>
      <c r="AG66" s="25"/>
      <c r="AH66" s="12">
        <v>2291.793083944946</v>
      </c>
      <c r="AJ66" s="25"/>
      <c r="AK66" s="25"/>
      <c r="AL66" s="25"/>
      <c r="AM66" s="25"/>
      <c r="AN66" s="25"/>
      <c r="AO66" s="25"/>
      <c r="AP66" s="25"/>
      <c r="AQ66" s="25"/>
      <c r="AR66" s="25"/>
      <c r="AS66" s="12">
        <v>8139.052018988856</v>
      </c>
      <c r="AU66" s="25"/>
      <c r="AV66" s="25"/>
      <c r="AW66" s="25"/>
      <c r="AX66" s="25"/>
      <c r="AY66" s="25"/>
      <c r="AZ66" s="25"/>
      <c r="BA66" s="25"/>
      <c r="BB66" s="25"/>
      <c r="BC66" s="25"/>
      <c r="BD66" s="12">
        <v>145.1901587206602</v>
      </c>
    </row>
    <row r="67" spans="1:55" ht="12.75">
      <c r="A67" s="13">
        <v>5.1</v>
      </c>
      <c r="B67" s="19" t="s">
        <v>948</v>
      </c>
      <c r="C67" s="14">
        <v>1224</v>
      </c>
      <c r="D67" s="15">
        <v>0.68</v>
      </c>
      <c r="E67" s="14">
        <v>0</v>
      </c>
      <c r="F67" s="14">
        <v>81.45215555555555</v>
      </c>
      <c r="G67" s="14">
        <v>51.47</v>
      </c>
      <c r="H67" s="14">
        <v>0</v>
      </c>
      <c r="I67" s="14">
        <v>29.242874063766664</v>
      </c>
      <c r="J67" s="14">
        <v>162.1650296193222</v>
      </c>
      <c r="K67" s="22"/>
      <c r="N67" s="14">
        <v>160</v>
      </c>
      <c r="O67" s="15">
        <v>0.08888888888888889</v>
      </c>
      <c r="P67" s="14">
        <v>0</v>
      </c>
      <c r="Q67" s="14">
        <v>11.6309</v>
      </c>
      <c r="R67" s="14">
        <v>0</v>
      </c>
      <c r="S67" s="14">
        <v>0</v>
      </c>
      <c r="T67" s="14">
        <v>2.558797986134887</v>
      </c>
      <c r="U67" s="14">
        <v>14.189697986134888</v>
      </c>
      <c r="V67" s="16">
        <v>0.08750159032095144</v>
      </c>
      <c r="Y67" s="14">
        <v>544</v>
      </c>
      <c r="Z67" s="15">
        <v>0.3022222222222222</v>
      </c>
      <c r="AA67" s="14">
        <v>0</v>
      </c>
      <c r="AB67" s="14">
        <v>39.436477777777775</v>
      </c>
      <c r="AC67" s="14">
        <v>0</v>
      </c>
      <c r="AD67" s="14">
        <v>0</v>
      </c>
      <c r="AE67" s="14">
        <v>8.676025064099166</v>
      </c>
      <c r="AF67" s="14">
        <v>48.11250284187694</v>
      </c>
      <c r="AG67" s="16">
        <v>0.29668852128488904</v>
      </c>
      <c r="AJ67" s="14">
        <v>520</v>
      </c>
      <c r="AK67" s="15">
        <v>0.28888888888888886</v>
      </c>
      <c r="AL67" s="14">
        <v>0</v>
      </c>
      <c r="AM67" s="14">
        <v>30.384777777777778</v>
      </c>
      <c r="AN67" s="14">
        <v>51.47</v>
      </c>
      <c r="AO67" s="14">
        <v>0</v>
      </c>
      <c r="AP67" s="14">
        <v>18.00805101353261</v>
      </c>
      <c r="AQ67" s="14">
        <v>99.86282879131038</v>
      </c>
      <c r="AR67" s="16">
        <v>0.6158098883941595</v>
      </c>
      <c r="AU67" s="14">
        <v>0</v>
      </c>
      <c r="AV67" s="15">
        <v>0</v>
      </c>
      <c r="AW67" s="14">
        <v>0</v>
      </c>
      <c r="AX67" s="14">
        <v>0</v>
      </c>
      <c r="AY67" s="14">
        <v>0</v>
      </c>
      <c r="AZ67" s="14">
        <v>0</v>
      </c>
      <c r="BA67" s="14">
        <v>0</v>
      </c>
      <c r="BB67" s="14">
        <v>0</v>
      </c>
      <c r="BC67" s="16">
        <v>0</v>
      </c>
    </row>
    <row r="68" spans="1:55" ht="12.75">
      <c r="A68" s="13">
        <v>5.2</v>
      </c>
      <c r="B68" s="13" t="s">
        <v>949</v>
      </c>
      <c r="C68" s="14">
        <v>3440</v>
      </c>
      <c r="D68" s="15">
        <v>1.9111111111111112</v>
      </c>
      <c r="E68" s="14">
        <v>29</v>
      </c>
      <c r="F68" s="14">
        <v>328.97899555555557</v>
      </c>
      <c r="G68" s="14">
        <v>5690.851</v>
      </c>
      <c r="H68" s="14">
        <v>109.38031933593751</v>
      </c>
      <c r="I68" s="14">
        <v>1159.9989320488637</v>
      </c>
      <c r="J68" s="14">
        <v>7289.209246940356</v>
      </c>
      <c r="K68" s="22"/>
      <c r="N68" s="14">
        <v>820</v>
      </c>
      <c r="O68" s="15">
        <v>0.45555555555555555</v>
      </c>
      <c r="P68" s="14">
        <v>4</v>
      </c>
      <c r="Q68" s="14">
        <v>85.88585111111111</v>
      </c>
      <c r="R68" s="14">
        <v>0</v>
      </c>
      <c r="S68" s="14">
        <v>15.0869404296875</v>
      </c>
      <c r="T68" s="14">
        <v>10.097279304541045</v>
      </c>
      <c r="U68" s="14">
        <v>111.07007084533966</v>
      </c>
      <c r="V68" s="16">
        <v>0.015237602198340142</v>
      </c>
      <c r="Y68" s="14">
        <v>998</v>
      </c>
      <c r="Z68" s="15">
        <v>0.5544444444444444</v>
      </c>
      <c r="AA68" s="14">
        <v>6</v>
      </c>
      <c r="AB68" s="14">
        <v>97.6384688888889</v>
      </c>
      <c r="AC68" s="14">
        <v>1438.124</v>
      </c>
      <c r="AD68" s="14">
        <v>22.63041015625</v>
      </c>
      <c r="AE68" s="14">
        <v>264.92679222429723</v>
      </c>
      <c r="AF68" s="14">
        <v>1823.3196712694362</v>
      </c>
      <c r="AG68" s="16">
        <v>0.25013957063103576</v>
      </c>
      <c r="AJ68" s="14">
        <v>1562</v>
      </c>
      <c r="AK68" s="15">
        <v>0.8677777777777778</v>
      </c>
      <c r="AL68" s="14">
        <v>19</v>
      </c>
      <c r="AM68" s="14">
        <v>137.9678088888889</v>
      </c>
      <c r="AN68" s="14">
        <v>4131.727</v>
      </c>
      <c r="AO68" s="14">
        <v>71.66296875</v>
      </c>
      <c r="AP68" s="14">
        <v>868.2715684660321</v>
      </c>
      <c r="AQ68" s="14">
        <v>5209.629346104921</v>
      </c>
      <c r="AR68" s="16">
        <v>0.7147043210882801</v>
      </c>
      <c r="AU68" s="14">
        <v>60</v>
      </c>
      <c r="AV68" s="15">
        <v>0.03333333333333333</v>
      </c>
      <c r="AW68" s="14">
        <v>0</v>
      </c>
      <c r="AX68" s="14">
        <v>7.486866666666667</v>
      </c>
      <c r="AY68" s="14">
        <v>121</v>
      </c>
      <c r="AZ68" s="14">
        <v>0</v>
      </c>
      <c r="BA68" s="14">
        <v>16.703292053993543</v>
      </c>
      <c r="BB68" s="14">
        <v>145.1901587206602</v>
      </c>
      <c r="BC68" s="16">
        <v>0.019918506082344082</v>
      </c>
    </row>
    <row r="69" spans="1:55" ht="12.75">
      <c r="A69" s="13">
        <v>5.3</v>
      </c>
      <c r="B69" s="19" t="s">
        <v>950</v>
      </c>
      <c r="C69" s="14">
        <v>3900</v>
      </c>
      <c r="D69" s="15">
        <v>2.1666666666666665</v>
      </c>
      <c r="E69" s="14">
        <v>2</v>
      </c>
      <c r="F69" s="14">
        <v>266.07079999999996</v>
      </c>
      <c r="G69" s="14">
        <v>1340.46</v>
      </c>
      <c r="H69" s="14">
        <v>7.34347021484375</v>
      </c>
      <c r="I69" s="14">
        <v>516.4397549254218</v>
      </c>
      <c r="J69" s="14">
        <v>2130.3140251402656</v>
      </c>
      <c r="K69" s="22"/>
      <c r="N69" s="14">
        <v>856</v>
      </c>
      <c r="O69" s="15">
        <v>0.47555555555555556</v>
      </c>
      <c r="P69" s="14">
        <v>0</v>
      </c>
      <c r="Q69" s="14">
        <v>60.66639555555556</v>
      </c>
      <c r="R69" s="14">
        <v>20</v>
      </c>
      <c r="S69" s="14">
        <v>0</v>
      </c>
      <c r="T69" s="14">
        <v>25.813246000806757</v>
      </c>
      <c r="U69" s="14">
        <v>106.47964155636232</v>
      </c>
      <c r="V69" s="16">
        <v>0.0499830730586076</v>
      </c>
      <c r="Y69" s="14">
        <v>1220</v>
      </c>
      <c r="Z69" s="15">
        <v>0.6777777777777778</v>
      </c>
      <c r="AA69" s="14">
        <v>0</v>
      </c>
      <c r="AB69" s="14">
        <v>88.21333333333332</v>
      </c>
      <c r="AC69" s="14">
        <v>0</v>
      </c>
      <c r="AD69" s="14">
        <v>0</v>
      </c>
      <c r="AE69" s="14">
        <v>28.228266035715738</v>
      </c>
      <c r="AF69" s="14">
        <v>116.44159936904906</v>
      </c>
      <c r="AG69" s="16">
        <v>0.05465935913433337</v>
      </c>
      <c r="AJ69" s="14">
        <v>1824</v>
      </c>
      <c r="AK69" s="15">
        <v>1.0133333333333334</v>
      </c>
      <c r="AL69" s="14">
        <v>2</v>
      </c>
      <c r="AM69" s="14">
        <v>117.19107111111111</v>
      </c>
      <c r="AN69" s="14">
        <v>1320.46</v>
      </c>
      <c r="AO69" s="14">
        <v>7.34347021484375</v>
      </c>
      <c r="AP69" s="14">
        <v>462.39824288889923</v>
      </c>
      <c r="AQ69" s="14">
        <v>1907.3927842148541</v>
      </c>
      <c r="AR69" s="16">
        <v>0.895357567807059</v>
      </c>
      <c r="AU69" s="14">
        <v>0</v>
      </c>
      <c r="AV69" s="15">
        <v>0</v>
      </c>
      <c r="AW69" s="14">
        <v>0</v>
      </c>
      <c r="AX69" s="14">
        <v>0</v>
      </c>
      <c r="AY69" s="14">
        <v>0</v>
      </c>
      <c r="AZ69" s="14">
        <v>0</v>
      </c>
      <c r="BA69" s="14">
        <v>0</v>
      </c>
      <c r="BB69" s="14">
        <v>0</v>
      </c>
      <c r="BC69" s="16">
        <v>0</v>
      </c>
    </row>
    <row r="70" spans="1:55" ht="12.75">
      <c r="A70" s="13">
        <v>5.4</v>
      </c>
      <c r="B70" s="19" t="s">
        <v>951</v>
      </c>
      <c r="C70" s="14">
        <v>1812</v>
      </c>
      <c r="D70" s="15">
        <v>1.0066666666666666</v>
      </c>
      <c r="E70" s="14">
        <v>0</v>
      </c>
      <c r="F70" s="14">
        <v>133.29594666666665</v>
      </c>
      <c r="G70" s="14">
        <v>36.05</v>
      </c>
      <c r="H70" s="14">
        <v>0</v>
      </c>
      <c r="I70" s="14">
        <v>27.095350861038366</v>
      </c>
      <c r="J70" s="14">
        <v>196.441297527705</v>
      </c>
      <c r="K70" s="22"/>
      <c r="N70" s="14">
        <v>170</v>
      </c>
      <c r="O70" s="15">
        <v>0.09444444444444444</v>
      </c>
      <c r="P70" s="14">
        <v>0</v>
      </c>
      <c r="Q70" s="14">
        <v>13.106611111111109</v>
      </c>
      <c r="R70" s="14">
        <v>0</v>
      </c>
      <c r="S70" s="14">
        <v>0</v>
      </c>
      <c r="T70" s="14">
        <v>2.0970577309048837</v>
      </c>
      <c r="U70" s="14">
        <v>15.203668842015993</v>
      </c>
      <c r="V70" s="16">
        <v>0.07739548166989557</v>
      </c>
      <c r="Y70" s="14">
        <v>647</v>
      </c>
      <c r="Z70" s="15">
        <v>0.35944444444444446</v>
      </c>
      <c r="AA70" s="14">
        <v>0</v>
      </c>
      <c r="AB70" s="14">
        <v>49.443685555555554</v>
      </c>
      <c r="AC70" s="14">
        <v>0</v>
      </c>
      <c r="AD70" s="14">
        <v>0</v>
      </c>
      <c r="AE70" s="14">
        <v>7.910989512064489</v>
      </c>
      <c r="AF70" s="14">
        <v>57.35467506762004</v>
      </c>
      <c r="AG70" s="16">
        <v>0.2919685208225173</v>
      </c>
      <c r="AJ70" s="14">
        <v>995</v>
      </c>
      <c r="AK70" s="15">
        <v>0.5527777777777778</v>
      </c>
      <c r="AL70" s="14">
        <v>0</v>
      </c>
      <c r="AM70" s="14">
        <v>70.74565</v>
      </c>
      <c r="AN70" s="14">
        <v>36.05</v>
      </c>
      <c r="AO70" s="14">
        <v>0</v>
      </c>
      <c r="AP70" s="14">
        <v>17.087303618068994</v>
      </c>
      <c r="AQ70" s="14">
        <v>123.882953618069</v>
      </c>
      <c r="AR70" s="16">
        <v>0.6306359975075874</v>
      </c>
      <c r="AU70" s="14">
        <v>0</v>
      </c>
      <c r="AV70" s="15">
        <v>0</v>
      </c>
      <c r="AW70" s="14">
        <v>0</v>
      </c>
      <c r="AX70" s="14">
        <v>0</v>
      </c>
      <c r="AY70" s="14">
        <v>0</v>
      </c>
      <c r="AZ70" s="14">
        <v>0</v>
      </c>
      <c r="BA70" s="14">
        <v>0</v>
      </c>
      <c r="BB70" s="14">
        <v>0</v>
      </c>
      <c r="BC70" s="16">
        <v>0</v>
      </c>
    </row>
    <row r="71" spans="1:55" ht="12.75">
      <c r="A71" s="13">
        <v>5.5</v>
      </c>
      <c r="B71" s="19" t="s">
        <v>952</v>
      </c>
      <c r="C71" s="14">
        <v>8105</v>
      </c>
      <c r="D71" s="15">
        <v>4.502777777777778</v>
      </c>
      <c r="E71" s="14">
        <v>0</v>
      </c>
      <c r="F71" s="14">
        <v>543.2380833333334</v>
      </c>
      <c r="G71" s="14">
        <v>126.39439</v>
      </c>
      <c r="H71" s="14">
        <v>0</v>
      </c>
      <c r="I71" s="14">
        <v>107.141193338541</v>
      </c>
      <c r="J71" s="14">
        <v>776.7736666718745</v>
      </c>
      <c r="K71" s="22"/>
      <c r="N71" s="14">
        <v>910</v>
      </c>
      <c r="O71" s="15">
        <v>0.5055555555555555</v>
      </c>
      <c r="P71" s="14">
        <v>0</v>
      </c>
      <c r="Q71" s="14">
        <v>75.25012222222222</v>
      </c>
      <c r="R71" s="14">
        <v>0</v>
      </c>
      <c r="S71" s="14">
        <v>0</v>
      </c>
      <c r="T71" s="14">
        <v>12.040019286440145</v>
      </c>
      <c r="U71" s="14">
        <v>87.29014150866236</v>
      </c>
      <c r="V71" s="16">
        <v>0.11237525839754754</v>
      </c>
      <c r="Y71" s="14">
        <v>2610</v>
      </c>
      <c r="Z71" s="15">
        <v>1.45</v>
      </c>
      <c r="AA71" s="14">
        <v>0</v>
      </c>
      <c r="AB71" s="14">
        <v>208.23106666666666</v>
      </c>
      <c r="AC71" s="14">
        <v>0</v>
      </c>
      <c r="AD71" s="14">
        <v>0</v>
      </c>
      <c r="AE71" s="14">
        <v>33.31696992197434</v>
      </c>
      <c r="AF71" s="14">
        <v>241.548036588641</v>
      </c>
      <c r="AG71" s="16">
        <v>0.3109632148365245</v>
      </c>
      <c r="AJ71" s="14">
        <v>4585</v>
      </c>
      <c r="AK71" s="15">
        <v>2.547222222222222</v>
      </c>
      <c r="AL71" s="14">
        <v>0</v>
      </c>
      <c r="AM71" s="14">
        <v>259.75689444444447</v>
      </c>
      <c r="AN71" s="14">
        <v>126.39439</v>
      </c>
      <c r="AO71" s="14">
        <v>0</v>
      </c>
      <c r="AP71" s="14">
        <v>61.784204130126504</v>
      </c>
      <c r="AQ71" s="14">
        <v>447.93548857457097</v>
      </c>
      <c r="AR71" s="16">
        <v>0.5766615267659277</v>
      </c>
      <c r="AU71" s="14">
        <v>0</v>
      </c>
      <c r="AV71" s="15">
        <v>0</v>
      </c>
      <c r="AW71" s="14">
        <v>0</v>
      </c>
      <c r="AX71" s="14">
        <v>0</v>
      </c>
      <c r="AY71" s="14">
        <v>0</v>
      </c>
      <c r="AZ71" s="14">
        <v>0</v>
      </c>
      <c r="BA71" s="14">
        <v>0</v>
      </c>
      <c r="BB71" s="14">
        <v>0</v>
      </c>
      <c r="BC71" s="16">
        <v>0</v>
      </c>
    </row>
    <row r="72" spans="1:55" ht="12.75">
      <c r="A72" s="13">
        <v>5.6</v>
      </c>
      <c r="B72" s="19" t="s">
        <v>953</v>
      </c>
      <c r="C72" s="14">
        <v>3126</v>
      </c>
      <c r="D72" s="15">
        <v>1.7366666666666666</v>
      </c>
      <c r="E72" s="14">
        <v>0</v>
      </c>
      <c r="F72" s="14">
        <v>192.88662611111113</v>
      </c>
      <c r="G72" s="14">
        <v>72.1</v>
      </c>
      <c r="H72" s="14">
        <v>0</v>
      </c>
      <c r="I72" s="14">
        <v>95.3951891906641</v>
      </c>
      <c r="J72" s="14">
        <v>360.38181530177525</v>
      </c>
      <c r="K72" s="22"/>
      <c r="N72" s="14">
        <v>48</v>
      </c>
      <c r="O72" s="15">
        <v>0.02666666666666667</v>
      </c>
      <c r="P72" s="14">
        <v>0</v>
      </c>
      <c r="Q72" s="14">
        <v>3.6886755555555557</v>
      </c>
      <c r="R72" s="14">
        <v>0</v>
      </c>
      <c r="S72" s="14">
        <v>0</v>
      </c>
      <c r="T72" s="14">
        <v>1.3279232527669271</v>
      </c>
      <c r="U72" s="14">
        <v>5.016598808322483</v>
      </c>
      <c r="V72" s="16">
        <v>0.013920232917750583</v>
      </c>
      <c r="Y72" s="14">
        <v>48</v>
      </c>
      <c r="Z72" s="15">
        <v>0.02666666666666667</v>
      </c>
      <c r="AA72" s="14">
        <v>0</v>
      </c>
      <c r="AB72" s="14">
        <v>3.6886755555555557</v>
      </c>
      <c r="AC72" s="14">
        <v>0</v>
      </c>
      <c r="AD72" s="14">
        <v>0</v>
      </c>
      <c r="AE72" s="14">
        <v>1.3279232527669271</v>
      </c>
      <c r="AF72" s="14">
        <v>5.016598808322483</v>
      </c>
      <c r="AG72" s="16">
        <v>0.013920232917750583</v>
      </c>
      <c r="AJ72" s="14">
        <v>3030</v>
      </c>
      <c r="AK72" s="15">
        <v>1.6833333333333333</v>
      </c>
      <c r="AL72" s="14">
        <v>0</v>
      </c>
      <c r="AM72" s="14">
        <v>185.509275</v>
      </c>
      <c r="AN72" s="14">
        <v>72.1</v>
      </c>
      <c r="AO72" s="14">
        <v>0</v>
      </c>
      <c r="AP72" s="14">
        <v>92.73934268513024</v>
      </c>
      <c r="AQ72" s="14">
        <v>350.34861768513025</v>
      </c>
      <c r="AR72" s="16">
        <v>0.9721595341644987</v>
      </c>
      <c r="AU72" s="14">
        <v>0</v>
      </c>
      <c r="AV72" s="15">
        <v>0</v>
      </c>
      <c r="AW72" s="14">
        <v>0</v>
      </c>
      <c r="AX72" s="14">
        <v>0</v>
      </c>
      <c r="AY72" s="14">
        <v>0</v>
      </c>
      <c r="AZ72" s="14">
        <v>0</v>
      </c>
      <c r="BA72" s="14">
        <v>0</v>
      </c>
      <c r="BB72" s="14">
        <v>0</v>
      </c>
      <c r="BC72" s="16">
        <v>0</v>
      </c>
    </row>
    <row r="73" spans="1:56" ht="12.75">
      <c r="A73" s="8">
        <v>6</v>
      </c>
      <c r="B73" s="9" t="s">
        <v>954</v>
      </c>
      <c r="C73" s="25"/>
      <c r="D73" s="25"/>
      <c r="E73" s="25"/>
      <c r="F73" s="25"/>
      <c r="G73" s="25"/>
      <c r="H73" s="25"/>
      <c r="I73" s="25"/>
      <c r="J73" s="25"/>
      <c r="K73" s="11">
        <v>0.042659730527957344</v>
      </c>
      <c r="L73" s="12">
        <v>1801.3828466697432</v>
      </c>
      <c r="N73" s="25"/>
      <c r="O73" s="25"/>
      <c r="P73" s="25"/>
      <c r="Q73" s="25"/>
      <c r="R73" s="25"/>
      <c r="S73" s="25"/>
      <c r="T73" s="25"/>
      <c r="U73" s="25"/>
      <c r="V73" s="25"/>
      <c r="W73" s="12">
        <v>185.41271188754348</v>
      </c>
      <c r="Y73" s="25"/>
      <c r="Z73" s="25"/>
      <c r="AA73" s="25"/>
      <c r="AB73" s="25"/>
      <c r="AC73" s="25"/>
      <c r="AD73" s="25"/>
      <c r="AE73" s="25"/>
      <c r="AF73" s="25"/>
      <c r="AG73" s="25"/>
      <c r="AH73" s="12">
        <v>849.7563866395409</v>
      </c>
      <c r="AJ73" s="25"/>
      <c r="AK73" s="25"/>
      <c r="AL73" s="25"/>
      <c r="AM73" s="25"/>
      <c r="AN73" s="25"/>
      <c r="AO73" s="25"/>
      <c r="AP73" s="25"/>
      <c r="AQ73" s="25"/>
      <c r="AR73" s="25"/>
      <c r="AS73" s="12">
        <v>766.2137481426591</v>
      </c>
      <c r="AU73" s="25"/>
      <c r="AV73" s="25"/>
      <c r="AW73" s="25"/>
      <c r="AX73" s="25"/>
      <c r="AY73" s="25"/>
      <c r="AZ73" s="25"/>
      <c r="BA73" s="25"/>
      <c r="BB73" s="25"/>
      <c r="BC73" s="25"/>
      <c r="BD73" s="12">
        <v>0</v>
      </c>
    </row>
    <row r="74" spans="1:55" ht="12.75">
      <c r="A74" s="13">
        <v>6.1</v>
      </c>
      <c r="B74" s="19" t="s">
        <v>955</v>
      </c>
      <c r="K74" s="22"/>
      <c r="V74" s="22" t="s">
        <v>683</v>
      </c>
      <c r="AG74" s="22" t="s">
        <v>683</v>
      </c>
      <c r="AR74" s="22" t="s">
        <v>683</v>
      </c>
      <c r="BC74" s="22" t="s">
        <v>683</v>
      </c>
    </row>
    <row r="75" spans="1:55" ht="12.75">
      <c r="A75" s="23" t="s">
        <v>956</v>
      </c>
      <c r="B75" s="19" t="s">
        <v>957</v>
      </c>
      <c r="C75" s="14">
        <v>2120</v>
      </c>
      <c r="D75" s="15">
        <v>1.1777777777777778</v>
      </c>
      <c r="E75" s="14">
        <v>0</v>
      </c>
      <c r="F75" s="14">
        <v>182.3846888888889</v>
      </c>
      <c r="G75" s="14">
        <v>0</v>
      </c>
      <c r="H75" s="14">
        <v>0</v>
      </c>
      <c r="I75" s="14">
        <v>23.84197448592484</v>
      </c>
      <c r="J75" s="14">
        <v>206.22666337481374</v>
      </c>
      <c r="K75" s="22"/>
      <c r="N75" s="14">
        <v>180</v>
      </c>
      <c r="O75" s="15">
        <v>0.1</v>
      </c>
      <c r="P75" s="14">
        <v>0</v>
      </c>
      <c r="Q75" s="14">
        <v>17.662200000000002</v>
      </c>
      <c r="R75" s="14">
        <v>0</v>
      </c>
      <c r="S75" s="14">
        <v>0</v>
      </c>
      <c r="T75" s="14">
        <v>1.9428419894725084</v>
      </c>
      <c r="U75" s="14">
        <v>19.60504198947251</v>
      </c>
      <c r="V75" s="16">
        <v>0.09506550544262385</v>
      </c>
      <c r="Y75" s="14">
        <v>1120</v>
      </c>
      <c r="Z75" s="15">
        <v>0.6222222222222222</v>
      </c>
      <c r="AA75" s="14">
        <v>0</v>
      </c>
      <c r="AB75" s="14">
        <v>101.72817777777777</v>
      </c>
      <c r="AC75" s="14">
        <v>0</v>
      </c>
      <c r="AD75" s="14">
        <v>0</v>
      </c>
      <c r="AE75" s="14">
        <v>11.190099494920837</v>
      </c>
      <c r="AF75" s="14">
        <v>112.91827727269862</v>
      </c>
      <c r="AG75" s="16">
        <v>0.5475445096421475</v>
      </c>
      <c r="AJ75" s="14">
        <v>820</v>
      </c>
      <c r="AK75" s="15">
        <v>0.45555555555555555</v>
      </c>
      <c r="AL75" s="14">
        <v>0</v>
      </c>
      <c r="AM75" s="14">
        <v>62.99431111111111</v>
      </c>
      <c r="AN75" s="14">
        <v>0</v>
      </c>
      <c r="AO75" s="14">
        <v>0</v>
      </c>
      <c r="AP75" s="14">
        <v>10.709033001531495</v>
      </c>
      <c r="AQ75" s="14">
        <v>73.70334411264261</v>
      </c>
      <c r="AR75" s="16">
        <v>0.3573899849152286</v>
      </c>
      <c r="AU75" s="14">
        <v>0</v>
      </c>
      <c r="AV75" s="15">
        <v>0</v>
      </c>
      <c r="AW75" s="14">
        <v>0</v>
      </c>
      <c r="AX75" s="14">
        <v>0</v>
      </c>
      <c r="AY75" s="14">
        <v>0</v>
      </c>
      <c r="AZ75" s="14">
        <v>0</v>
      </c>
      <c r="BA75" s="14">
        <v>0</v>
      </c>
      <c r="BB75" s="14">
        <v>0</v>
      </c>
      <c r="BC75" s="16">
        <v>0</v>
      </c>
    </row>
    <row r="76" spans="1:55" ht="12.75">
      <c r="A76" s="23" t="s">
        <v>958</v>
      </c>
      <c r="B76" s="19" t="s">
        <v>959</v>
      </c>
      <c r="C76" s="14">
        <v>980</v>
      </c>
      <c r="D76" s="15">
        <v>0.5444444444444444</v>
      </c>
      <c r="E76" s="14">
        <v>0</v>
      </c>
      <c r="F76" s="14">
        <v>83.90593333333334</v>
      </c>
      <c r="G76" s="14">
        <v>0</v>
      </c>
      <c r="H76" s="14">
        <v>0</v>
      </c>
      <c r="I76" s="14">
        <v>11.153289359759953</v>
      </c>
      <c r="J76" s="14">
        <v>95.05922269309329</v>
      </c>
      <c r="K76" s="22"/>
      <c r="N76" s="14">
        <v>100</v>
      </c>
      <c r="O76" s="15">
        <v>0.05555555555555555</v>
      </c>
      <c r="P76" s="14">
        <v>0</v>
      </c>
      <c r="Q76" s="14">
        <v>9.812333333333333</v>
      </c>
      <c r="R76" s="14">
        <v>0</v>
      </c>
      <c r="S76" s="14">
        <v>0</v>
      </c>
      <c r="T76" s="14">
        <v>1.0793566608180605</v>
      </c>
      <c r="U76" s="14">
        <v>10.891689994151394</v>
      </c>
      <c r="V76" s="16">
        <v>0.11457794084132301</v>
      </c>
      <c r="Y76" s="14">
        <v>470</v>
      </c>
      <c r="Z76" s="15">
        <v>0.2611111111111111</v>
      </c>
      <c r="AA76" s="14">
        <v>0</v>
      </c>
      <c r="AB76" s="14">
        <v>42.03298888888889</v>
      </c>
      <c r="AC76" s="14">
        <v>0</v>
      </c>
      <c r="AD76" s="14">
        <v>0</v>
      </c>
      <c r="AE76" s="14">
        <v>4.623628752724164</v>
      </c>
      <c r="AF76" s="14">
        <v>46.65661764161305</v>
      </c>
      <c r="AG76" s="16">
        <v>0.4908163176575499</v>
      </c>
      <c r="AJ76" s="14">
        <v>410</v>
      </c>
      <c r="AK76" s="15">
        <v>0.22777777777777777</v>
      </c>
      <c r="AL76" s="14">
        <v>0</v>
      </c>
      <c r="AM76" s="14">
        <v>32.06061111111111</v>
      </c>
      <c r="AN76" s="14">
        <v>0</v>
      </c>
      <c r="AO76" s="14">
        <v>0</v>
      </c>
      <c r="AP76" s="14">
        <v>5.450303946217728</v>
      </c>
      <c r="AQ76" s="14">
        <v>37.51091505732884</v>
      </c>
      <c r="AR76" s="16">
        <v>0.39460574150112704</v>
      </c>
      <c r="AU76" s="14">
        <v>0</v>
      </c>
      <c r="AV76" s="15">
        <v>0</v>
      </c>
      <c r="AW76" s="14">
        <v>0</v>
      </c>
      <c r="AX76" s="14">
        <v>0</v>
      </c>
      <c r="AY76" s="14">
        <v>0</v>
      </c>
      <c r="AZ76" s="14">
        <v>0</v>
      </c>
      <c r="BA76" s="14">
        <v>0</v>
      </c>
      <c r="BB76" s="14">
        <v>0</v>
      </c>
      <c r="BC76" s="16">
        <v>0</v>
      </c>
    </row>
    <row r="77" spans="1:55" ht="12.75">
      <c r="A77" s="23" t="s">
        <v>960</v>
      </c>
      <c r="B77" s="19" t="s">
        <v>961</v>
      </c>
      <c r="C77" s="14">
        <v>2520</v>
      </c>
      <c r="D77" s="15">
        <v>1.4</v>
      </c>
      <c r="E77" s="14">
        <v>0</v>
      </c>
      <c r="F77" s="14">
        <v>212.03786666666667</v>
      </c>
      <c r="G77" s="14">
        <v>0</v>
      </c>
      <c r="H77" s="14">
        <v>0</v>
      </c>
      <c r="I77" s="14">
        <v>27.632828044826454</v>
      </c>
      <c r="J77" s="14">
        <v>239.67069471149313</v>
      </c>
      <c r="K77" s="22"/>
      <c r="N77" s="14">
        <v>240</v>
      </c>
      <c r="O77" s="15">
        <v>0.13333333333333333</v>
      </c>
      <c r="P77" s="14">
        <v>0</v>
      </c>
      <c r="Q77" s="14">
        <v>23.549599999999998</v>
      </c>
      <c r="R77" s="14">
        <v>0</v>
      </c>
      <c r="S77" s="14">
        <v>0</v>
      </c>
      <c r="T77" s="14">
        <v>2.5904559859633447</v>
      </c>
      <c r="U77" s="14">
        <v>26.140055985963343</v>
      </c>
      <c r="V77" s="16">
        <v>0.10906655074134029</v>
      </c>
      <c r="Y77" s="14">
        <v>1340</v>
      </c>
      <c r="Z77" s="15">
        <v>0.7444444444444445</v>
      </c>
      <c r="AA77" s="14">
        <v>0</v>
      </c>
      <c r="AB77" s="14">
        <v>116.67722222222221</v>
      </c>
      <c r="AC77" s="14">
        <v>0</v>
      </c>
      <c r="AD77" s="14">
        <v>0</v>
      </c>
      <c r="AE77" s="14">
        <v>12.834494374899402</v>
      </c>
      <c r="AF77" s="14">
        <v>129.51171659712162</v>
      </c>
      <c r="AG77" s="16">
        <v>0.5403736020084688</v>
      </c>
      <c r="AJ77" s="14">
        <v>940</v>
      </c>
      <c r="AK77" s="15">
        <v>0.5222222222222223</v>
      </c>
      <c r="AL77" s="14">
        <v>0</v>
      </c>
      <c r="AM77" s="14">
        <v>71.81104444444445</v>
      </c>
      <c r="AN77" s="14">
        <v>0</v>
      </c>
      <c r="AO77" s="14">
        <v>0</v>
      </c>
      <c r="AP77" s="14">
        <v>12.207877683963709</v>
      </c>
      <c r="AQ77" s="14">
        <v>84.01892212840815</v>
      </c>
      <c r="AR77" s="16">
        <v>0.35055984725019085</v>
      </c>
      <c r="AU77" s="14">
        <v>0</v>
      </c>
      <c r="AV77" s="15">
        <v>0</v>
      </c>
      <c r="AW77" s="14">
        <v>0</v>
      </c>
      <c r="AX77" s="14">
        <v>0</v>
      </c>
      <c r="AY77" s="14">
        <v>0</v>
      </c>
      <c r="AZ77" s="14">
        <v>0</v>
      </c>
      <c r="BA77" s="14">
        <v>0</v>
      </c>
      <c r="BB77" s="14">
        <v>0</v>
      </c>
      <c r="BC77" s="16">
        <v>0</v>
      </c>
    </row>
    <row r="78" spans="1:55" ht="12.75">
      <c r="A78" s="23" t="s">
        <v>962</v>
      </c>
      <c r="B78" s="19" t="s">
        <v>963</v>
      </c>
      <c r="C78" s="14">
        <v>1230</v>
      </c>
      <c r="D78" s="15">
        <v>0.6833333333333333</v>
      </c>
      <c r="E78" s="14">
        <v>0</v>
      </c>
      <c r="F78" s="14">
        <v>105.26736666666667</v>
      </c>
      <c r="G78" s="14">
        <v>0</v>
      </c>
      <c r="H78" s="14">
        <v>0</v>
      </c>
      <c r="I78" s="14">
        <v>17.306712498171628</v>
      </c>
      <c r="J78" s="14">
        <v>122.57407916483831</v>
      </c>
      <c r="K78" s="22"/>
      <c r="N78" s="14">
        <v>100</v>
      </c>
      <c r="O78" s="15">
        <v>0.05555555555555555</v>
      </c>
      <c r="P78" s="14">
        <v>0</v>
      </c>
      <c r="Q78" s="14">
        <v>9.812333333333333</v>
      </c>
      <c r="R78" s="14">
        <v>0</v>
      </c>
      <c r="S78" s="14">
        <v>0</v>
      </c>
      <c r="T78" s="14">
        <v>1.0793566608180605</v>
      </c>
      <c r="U78" s="14">
        <v>10.891689994151394</v>
      </c>
      <c r="V78" s="16">
        <v>0.08885802013249626</v>
      </c>
      <c r="Y78" s="14">
        <v>600</v>
      </c>
      <c r="Z78" s="15">
        <v>0.3333333333333333</v>
      </c>
      <c r="AA78" s="14">
        <v>0</v>
      </c>
      <c r="AB78" s="14">
        <v>54.78902222222222</v>
      </c>
      <c r="AC78" s="14">
        <v>0</v>
      </c>
      <c r="AD78" s="14">
        <v>0</v>
      </c>
      <c r="AE78" s="14">
        <v>9.314133875748185</v>
      </c>
      <c r="AF78" s="14">
        <v>64.10315609797041</v>
      </c>
      <c r="AG78" s="16">
        <v>0.5229748127396832</v>
      </c>
      <c r="AJ78" s="14">
        <v>530</v>
      </c>
      <c r="AK78" s="15">
        <v>0.29444444444444445</v>
      </c>
      <c r="AL78" s="14">
        <v>0</v>
      </c>
      <c r="AM78" s="14">
        <v>40.66601111111111</v>
      </c>
      <c r="AN78" s="14">
        <v>0</v>
      </c>
      <c r="AO78" s="14">
        <v>0</v>
      </c>
      <c r="AP78" s="14">
        <v>6.913221961605384</v>
      </c>
      <c r="AQ78" s="14">
        <v>47.57923307271649</v>
      </c>
      <c r="AR78" s="16">
        <v>0.3881671671278205</v>
      </c>
      <c r="AU78" s="14">
        <v>0</v>
      </c>
      <c r="AV78" s="15">
        <v>0</v>
      </c>
      <c r="AW78" s="14">
        <v>0</v>
      </c>
      <c r="AX78" s="14">
        <v>0</v>
      </c>
      <c r="AY78" s="14">
        <v>0</v>
      </c>
      <c r="AZ78" s="14">
        <v>0</v>
      </c>
      <c r="BA78" s="14">
        <v>0</v>
      </c>
      <c r="BB78" s="14">
        <v>0</v>
      </c>
      <c r="BC78" s="16">
        <v>0</v>
      </c>
    </row>
    <row r="79" spans="1:55" ht="12.75">
      <c r="A79" s="23">
        <v>6.2</v>
      </c>
      <c r="B79" s="19" t="s">
        <v>964</v>
      </c>
      <c r="K79" s="22"/>
      <c r="V79" s="22" t="s">
        <v>683</v>
      </c>
      <c r="AG79" s="22" t="s">
        <v>683</v>
      </c>
      <c r="AR79" s="22" t="s">
        <v>683</v>
      </c>
      <c r="BC79" s="22" t="s">
        <v>683</v>
      </c>
    </row>
    <row r="80" spans="1:55" ht="12.75">
      <c r="A80" s="23" t="s">
        <v>965</v>
      </c>
      <c r="B80" s="19" t="s">
        <v>966</v>
      </c>
      <c r="C80" s="14">
        <v>1110</v>
      </c>
      <c r="D80" s="15">
        <v>0.6166666666666667</v>
      </c>
      <c r="E80" s="14">
        <v>0</v>
      </c>
      <c r="F80" s="14">
        <v>96.55630000000001</v>
      </c>
      <c r="G80" s="14">
        <v>0</v>
      </c>
      <c r="H80" s="14">
        <v>0</v>
      </c>
      <c r="I80" s="14">
        <v>10.60736408816543</v>
      </c>
      <c r="J80" s="14">
        <v>107.16366408816543</v>
      </c>
      <c r="K80" s="22"/>
      <c r="N80" s="14">
        <v>180</v>
      </c>
      <c r="O80" s="15">
        <v>0.1</v>
      </c>
      <c r="P80" s="14">
        <v>0</v>
      </c>
      <c r="Q80" s="14">
        <v>17.662200000000002</v>
      </c>
      <c r="R80" s="14">
        <v>0</v>
      </c>
      <c r="S80" s="14">
        <v>0</v>
      </c>
      <c r="T80" s="14">
        <v>1.5895980631649496</v>
      </c>
      <c r="U80" s="14">
        <v>19.25179806316495</v>
      </c>
      <c r="V80" s="16">
        <v>0.1796485611701944</v>
      </c>
      <c r="Y80" s="14">
        <v>520</v>
      </c>
      <c r="Z80" s="15">
        <v>0.28888888888888886</v>
      </c>
      <c r="AA80" s="14">
        <v>0</v>
      </c>
      <c r="AB80" s="14">
        <v>46.93915555555555</v>
      </c>
      <c r="AC80" s="14">
        <v>0</v>
      </c>
      <c r="AD80" s="14">
        <v>0</v>
      </c>
      <c r="AE80" s="14">
        <v>4.224524167867501</v>
      </c>
      <c r="AF80" s="14">
        <v>51.16367972342305</v>
      </c>
      <c r="AG80" s="16">
        <v>0.47743496042958916</v>
      </c>
      <c r="AJ80" s="14">
        <v>410</v>
      </c>
      <c r="AK80" s="15">
        <v>0.22777777777777777</v>
      </c>
      <c r="AL80" s="14">
        <v>0</v>
      </c>
      <c r="AM80" s="14">
        <v>31.954944444444447</v>
      </c>
      <c r="AN80" s="14">
        <v>0</v>
      </c>
      <c r="AO80" s="14">
        <v>0</v>
      </c>
      <c r="AP80" s="14">
        <v>4.793241857132978</v>
      </c>
      <c r="AQ80" s="14">
        <v>36.74818630157743</v>
      </c>
      <c r="AR80" s="16">
        <v>0.3429164784002164</v>
      </c>
      <c r="AU80" s="14">
        <v>0</v>
      </c>
      <c r="AV80" s="15">
        <v>0</v>
      </c>
      <c r="AW80" s="14">
        <v>0</v>
      </c>
      <c r="AX80" s="14">
        <v>0</v>
      </c>
      <c r="AY80" s="14">
        <v>0</v>
      </c>
      <c r="AZ80" s="14">
        <v>0</v>
      </c>
      <c r="BA80" s="14">
        <v>0</v>
      </c>
      <c r="BB80" s="14">
        <v>0</v>
      </c>
      <c r="BC80" s="16">
        <v>0</v>
      </c>
    </row>
    <row r="81" spans="1:55" ht="12.75">
      <c r="A81" s="23" t="s">
        <v>967</v>
      </c>
      <c r="B81" s="19" t="s">
        <v>968</v>
      </c>
      <c r="C81" s="14">
        <v>750</v>
      </c>
      <c r="D81" s="15">
        <v>0.4166666666666667</v>
      </c>
      <c r="E81" s="14">
        <v>0</v>
      </c>
      <c r="F81" s="14">
        <v>64.40129999999999</v>
      </c>
      <c r="G81" s="14">
        <v>0</v>
      </c>
      <c r="H81" s="14">
        <v>0</v>
      </c>
      <c r="I81" s="14">
        <v>7.4866586308264065</v>
      </c>
      <c r="J81" s="14">
        <v>71.8879586308264</v>
      </c>
      <c r="K81" s="22"/>
      <c r="N81" s="14">
        <v>80</v>
      </c>
      <c r="O81" s="15">
        <v>0.044444444444444446</v>
      </c>
      <c r="P81" s="14">
        <v>0</v>
      </c>
      <c r="Q81" s="14">
        <v>7.849866666666667</v>
      </c>
      <c r="R81" s="14">
        <v>0</v>
      </c>
      <c r="S81" s="14">
        <v>0</v>
      </c>
      <c r="T81" s="14">
        <v>0.7064880280733108</v>
      </c>
      <c r="U81" s="14">
        <v>8.556354694739978</v>
      </c>
      <c r="V81" s="16">
        <v>0.11902347566551866</v>
      </c>
      <c r="Y81" s="14">
        <v>310</v>
      </c>
      <c r="Z81" s="15">
        <v>0.17222222222222222</v>
      </c>
      <c r="AA81" s="14">
        <v>0</v>
      </c>
      <c r="AB81" s="14">
        <v>28.375744444444447</v>
      </c>
      <c r="AC81" s="14">
        <v>0</v>
      </c>
      <c r="AD81" s="14">
        <v>0</v>
      </c>
      <c r="AE81" s="14">
        <v>2.55381710147957</v>
      </c>
      <c r="AF81" s="14">
        <v>30.929561545924017</v>
      </c>
      <c r="AG81" s="16">
        <v>0.43024676364451747</v>
      </c>
      <c r="AJ81" s="14">
        <v>360</v>
      </c>
      <c r="AK81" s="15">
        <v>0.2</v>
      </c>
      <c r="AL81" s="14">
        <v>0</v>
      </c>
      <c r="AM81" s="14">
        <v>28.175688888888885</v>
      </c>
      <c r="AN81" s="14">
        <v>0</v>
      </c>
      <c r="AO81" s="14">
        <v>0</v>
      </c>
      <c r="AP81" s="14">
        <v>4.226353501273525</v>
      </c>
      <c r="AQ81" s="14">
        <v>32.40204239016241</v>
      </c>
      <c r="AR81" s="16">
        <v>0.45072976068996384</v>
      </c>
      <c r="AU81" s="14">
        <v>0</v>
      </c>
      <c r="AV81" s="15">
        <v>0</v>
      </c>
      <c r="AW81" s="14">
        <v>0</v>
      </c>
      <c r="AX81" s="14">
        <v>0</v>
      </c>
      <c r="AY81" s="14">
        <v>0</v>
      </c>
      <c r="AZ81" s="14">
        <v>0</v>
      </c>
      <c r="BA81" s="14">
        <v>0</v>
      </c>
      <c r="BB81" s="14">
        <v>0</v>
      </c>
      <c r="BC81" s="16">
        <v>0</v>
      </c>
    </row>
    <row r="82" spans="1:55" ht="12.75">
      <c r="A82" s="23" t="s">
        <v>969</v>
      </c>
      <c r="B82" s="19" t="s">
        <v>970</v>
      </c>
      <c r="C82" s="14">
        <v>1790</v>
      </c>
      <c r="D82" s="15">
        <v>0.9944444444444445</v>
      </c>
      <c r="E82" s="14">
        <v>0</v>
      </c>
      <c r="F82" s="14">
        <v>152.40745555555554</v>
      </c>
      <c r="G82" s="14">
        <v>0</v>
      </c>
      <c r="H82" s="14">
        <v>0</v>
      </c>
      <c r="I82" s="14">
        <v>17.328449021904003</v>
      </c>
      <c r="J82" s="14">
        <v>169.73590457745954</v>
      </c>
      <c r="K82" s="22"/>
      <c r="N82" s="14">
        <v>240</v>
      </c>
      <c r="O82" s="15">
        <v>0.13333333333333333</v>
      </c>
      <c r="P82" s="14">
        <v>0</v>
      </c>
      <c r="Q82" s="14">
        <v>23.549599999999998</v>
      </c>
      <c r="R82" s="14">
        <v>0</v>
      </c>
      <c r="S82" s="14">
        <v>0</v>
      </c>
      <c r="T82" s="14">
        <v>2.119464084219932</v>
      </c>
      <c r="U82" s="14">
        <v>25.66906408421993</v>
      </c>
      <c r="V82" s="16">
        <v>0.15122942990830657</v>
      </c>
      <c r="Y82" s="14">
        <v>770</v>
      </c>
      <c r="Z82" s="15">
        <v>0.42777777777777776</v>
      </c>
      <c r="AA82" s="14">
        <v>0</v>
      </c>
      <c r="AB82" s="14">
        <v>68.66156666666667</v>
      </c>
      <c r="AC82" s="14">
        <v>0</v>
      </c>
      <c r="AD82" s="14">
        <v>0</v>
      </c>
      <c r="AE82" s="14">
        <v>6.1795412455528975</v>
      </c>
      <c r="AF82" s="14">
        <v>74.84110791221957</v>
      </c>
      <c r="AG82" s="16">
        <v>0.44092679211584007</v>
      </c>
      <c r="AJ82" s="14">
        <v>780</v>
      </c>
      <c r="AK82" s="15">
        <v>0.43333333333333335</v>
      </c>
      <c r="AL82" s="14">
        <v>0</v>
      </c>
      <c r="AM82" s="14">
        <v>60.19628888888889</v>
      </c>
      <c r="AN82" s="14">
        <v>0</v>
      </c>
      <c r="AO82" s="14">
        <v>0</v>
      </c>
      <c r="AP82" s="14">
        <v>9.029443692131174</v>
      </c>
      <c r="AQ82" s="14">
        <v>69.22573258102005</v>
      </c>
      <c r="AR82" s="16">
        <v>0.40784377797585347</v>
      </c>
      <c r="AU82" s="14">
        <v>0</v>
      </c>
      <c r="AV82" s="15">
        <v>0</v>
      </c>
      <c r="AW82" s="14">
        <v>0</v>
      </c>
      <c r="AX82" s="14">
        <v>0</v>
      </c>
      <c r="AY82" s="14">
        <v>0</v>
      </c>
      <c r="AZ82" s="14">
        <v>0</v>
      </c>
      <c r="BA82" s="14">
        <v>0</v>
      </c>
      <c r="BB82" s="14">
        <v>0</v>
      </c>
      <c r="BC82" s="16">
        <v>0</v>
      </c>
    </row>
    <row r="83" spans="1:55" ht="12.75">
      <c r="A83" s="23">
        <v>6.3</v>
      </c>
      <c r="B83" s="19" t="s">
        <v>971</v>
      </c>
      <c r="K83" s="22"/>
      <c r="V83" s="22" t="s">
        <v>683</v>
      </c>
      <c r="AG83" s="22" t="s">
        <v>683</v>
      </c>
      <c r="AR83" s="22" t="s">
        <v>683</v>
      </c>
      <c r="BC83" s="22" t="s">
        <v>683</v>
      </c>
    </row>
    <row r="84" spans="1:55" ht="12.75">
      <c r="A84" s="23" t="s">
        <v>972</v>
      </c>
      <c r="B84" s="13" t="s">
        <v>973</v>
      </c>
      <c r="C84" s="14">
        <v>300</v>
      </c>
      <c r="D84" s="15">
        <v>0.16666666666666666</v>
      </c>
      <c r="E84" s="14">
        <v>0</v>
      </c>
      <c r="F84" s="14">
        <v>24.8414</v>
      </c>
      <c r="G84" s="14">
        <v>0</v>
      </c>
      <c r="H84" s="14">
        <v>0</v>
      </c>
      <c r="I84" s="14">
        <v>1.4904839666850864</v>
      </c>
      <c r="J84" s="14">
        <v>26.331883966685087</v>
      </c>
      <c r="K84" s="22"/>
      <c r="N84" s="14">
        <v>20</v>
      </c>
      <c r="O84" s="15">
        <v>0.011111111111111112</v>
      </c>
      <c r="P84" s="14">
        <v>0</v>
      </c>
      <c r="Q84" s="14">
        <v>1.9624666666666668</v>
      </c>
      <c r="R84" s="14">
        <v>0</v>
      </c>
      <c r="S84" s="14">
        <v>0</v>
      </c>
      <c r="T84" s="14">
        <v>0.11774799736812712</v>
      </c>
      <c r="U84" s="14">
        <v>2.080214664034794</v>
      </c>
      <c r="V84" s="16">
        <v>0.07899984166217149</v>
      </c>
      <c r="Y84" s="14">
        <v>100</v>
      </c>
      <c r="Z84" s="15">
        <v>0.05555555555555555</v>
      </c>
      <c r="AA84" s="14">
        <v>0</v>
      </c>
      <c r="AB84" s="14">
        <v>8.280466666666667</v>
      </c>
      <c r="AC84" s="14">
        <v>0</v>
      </c>
      <c r="AD84" s="14">
        <v>0</v>
      </c>
      <c r="AE84" s="14">
        <v>0.4968279888950288</v>
      </c>
      <c r="AF84" s="14">
        <v>8.777294655561697</v>
      </c>
      <c r="AG84" s="16">
        <v>0.33333333333333337</v>
      </c>
      <c r="AJ84" s="14">
        <v>180</v>
      </c>
      <c r="AK84" s="15">
        <v>0.1</v>
      </c>
      <c r="AL84" s="14">
        <v>0</v>
      </c>
      <c r="AM84" s="14">
        <v>14.598466666666665</v>
      </c>
      <c r="AN84" s="14">
        <v>0</v>
      </c>
      <c r="AO84" s="14">
        <v>0</v>
      </c>
      <c r="AP84" s="14">
        <v>0.8759079804219304</v>
      </c>
      <c r="AQ84" s="14">
        <v>15.474374647088595</v>
      </c>
      <c r="AR84" s="16">
        <v>0.5876668250044951</v>
      </c>
      <c r="AU84" s="14">
        <v>0</v>
      </c>
      <c r="AV84" s="15">
        <v>0</v>
      </c>
      <c r="AW84" s="14">
        <v>0</v>
      </c>
      <c r="AX84" s="14">
        <v>0</v>
      </c>
      <c r="AY84" s="14">
        <v>0</v>
      </c>
      <c r="AZ84" s="14">
        <v>0</v>
      </c>
      <c r="BA84" s="14">
        <v>0</v>
      </c>
      <c r="BB84" s="14">
        <v>0</v>
      </c>
      <c r="BC84" s="16">
        <v>0</v>
      </c>
    </row>
    <row r="85" spans="1:55" ht="12.75">
      <c r="A85" s="23" t="s">
        <v>974</v>
      </c>
      <c r="B85" s="19" t="s">
        <v>975</v>
      </c>
      <c r="C85" s="14">
        <v>3475</v>
      </c>
      <c r="D85" s="15">
        <v>1.9305555555555556</v>
      </c>
      <c r="E85" s="14">
        <v>5</v>
      </c>
      <c r="F85" s="14">
        <v>287.8738722222222</v>
      </c>
      <c r="G85" s="14">
        <v>0</v>
      </c>
      <c r="H85" s="14">
        <v>18.85867529296875</v>
      </c>
      <c r="I85" s="14">
        <v>35.25025588997707</v>
      </c>
      <c r="J85" s="14">
        <v>341.98280340516806</v>
      </c>
      <c r="K85" s="22"/>
      <c r="N85" s="14">
        <v>340</v>
      </c>
      <c r="O85" s="15">
        <v>0.18888888888888888</v>
      </c>
      <c r="P85" s="14">
        <v>0</v>
      </c>
      <c r="Q85" s="14">
        <v>30.2982</v>
      </c>
      <c r="R85" s="14">
        <v>0</v>
      </c>
      <c r="S85" s="14">
        <v>0</v>
      </c>
      <c r="T85" s="14">
        <v>2.7268381083548068</v>
      </c>
      <c r="U85" s="14">
        <v>33.025038108354806</v>
      </c>
      <c r="V85" s="16">
        <v>0.09656929465318176</v>
      </c>
      <c r="Y85" s="14">
        <v>1570</v>
      </c>
      <c r="Z85" s="15">
        <v>0.8722222222222222</v>
      </c>
      <c r="AA85" s="14">
        <v>3</v>
      </c>
      <c r="AB85" s="14">
        <v>137.71372222222223</v>
      </c>
      <c r="AC85" s="14">
        <v>0</v>
      </c>
      <c r="AD85" s="14">
        <v>11.315205078125</v>
      </c>
      <c r="AE85" s="14">
        <v>13.412603990000227</v>
      </c>
      <c r="AF85" s="14">
        <v>162.44153129034746</v>
      </c>
      <c r="AG85" s="16">
        <v>0.4749991218064055</v>
      </c>
      <c r="AJ85" s="14">
        <v>1565</v>
      </c>
      <c r="AK85" s="15">
        <v>0.8694444444444445</v>
      </c>
      <c r="AL85" s="14">
        <v>2</v>
      </c>
      <c r="AM85" s="14">
        <v>119.86194999999998</v>
      </c>
      <c r="AN85" s="14">
        <v>0</v>
      </c>
      <c r="AO85" s="14">
        <v>7.54347021484375</v>
      </c>
      <c r="AP85" s="14">
        <v>19.11081379162204</v>
      </c>
      <c r="AQ85" s="14">
        <v>146.51623400646577</v>
      </c>
      <c r="AR85" s="16">
        <v>0.4284315835404126</v>
      </c>
      <c r="AU85" s="14">
        <v>0</v>
      </c>
      <c r="AV85" s="15">
        <v>0</v>
      </c>
      <c r="AW85" s="14">
        <v>0</v>
      </c>
      <c r="AX85" s="14">
        <v>0</v>
      </c>
      <c r="AY85" s="14">
        <v>0</v>
      </c>
      <c r="AZ85" s="14">
        <v>0</v>
      </c>
      <c r="BA85" s="14">
        <v>0</v>
      </c>
      <c r="BB85" s="14">
        <v>0</v>
      </c>
      <c r="BC85" s="16">
        <v>0</v>
      </c>
    </row>
    <row r="86" spans="1:55" ht="12.75">
      <c r="A86" s="23" t="s">
        <v>976</v>
      </c>
      <c r="B86" s="19" t="s">
        <v>977</v>
      </c>
      <c r="C86" s="14">
        <v>3340</v>
      </c>
      <c r="D86" s="15">
        <v>1.8555555555555556</v>
      </c>
      <c r="E86" s="14">
        <v>0</v>
      </c>
      <c r="F86" s="14">
        <v>249.26767777777775</v>
      </c>
      <c r="G86" s="14">
        <v>0</v>
      </c>
      <c r="H86" s="14">
        <v>0</v>
      </c>
      <c r="I86" s="14">
        <v>52.17177759258598</v>
      </c>
      <c r="J86" s="14">
        <v>301.4394553703637</v>
      </c>
      <c r="K86" s="22"/>
      <c r="N86" s="14">
        <v>250</v>
      </c>
      <c r="O86" s="15">
        <v>0.1388888888888889</v>
      </c>
      <c r="P86" s="14">
        <v>0</v>
      </c>
      <c r="Q86" s="14">
        <v>18.148055555555555</v>
      </c>
      <c r="R86" s="14">
        <v>0</v>
      </c>
      <c r="S86" s="14">
        <v>0</v>
      </c>
      <c r="T86" s="14">
        <v>3.2666501298050084</v>
      </c>
      <c r="U86" s="14">
        <v>21.414705685360563</v>
      </c>
      <c r="V86" s="16">
        <v>0.07104148214124584</v>
      </c>
      <c r="Y86" s="14">
        <v>1390</v>
      </c>
      <c r="Z86" s="15">
        <v>0.7722222222222223</v>
      </c>
      <c r="AA86" s="14">
        <v>0</v>
      </c>
      <c r="AB86" s="14">
        <v>109.39303333333332</v>
      </c>
      <c r="AC86" s="14">
        <v>0</v>
      </c>
      <c r="AD86" s="14">
        <v>0</v>
      </c>
      <c r="AE86" s="14">
        <v>19.690746782439945</v>
      </c>
      <c r="AF86" s="14">
        <v>129.08378011577327</v>
      </c>
      <c r="AG86" s="16">
        <v>0.4282245665457909</v>
      </c>
      <c r="AJ86" s="14">
        <v>1700</v>
      </c>
      <c r="AK86" s="15">
        <v>0.9444444444444444</v>
      </c>
      <c r="AL86" s="14">
        <v>0</v>
      </c>
      <c r="AM86" s="14">
        <v>121.72658888888888</v>
      </c>
      <c r="AN86" s="14">
        <v>0</v>
      </c>
      <c r="AO86" s="14">
        <v>0</v>
      </c>
      <c r="AP86" s="14">
        <v>29.214380680341026</v>
      </c>
      <c r="AQ86" s="14">
        <v>150.9409695692299</v>
      </c>
      <c r="AR86" s="16">
        <v>0.5007339513129634</v>
      </c>
      <c r="AU86" s="14">
        <v>0</v>
      </c>
      <c r="AV86" s="15">
        <v>0</v>
      </c>
      <c r="AW86" s="14">
        <v>0</v>
      </c>
      <c r="AX86" s="14">
        <v>0</v>
      </c>
      <c r="AY86" s="14">
        <v>0</v>
      </c>
      <c r="AZ86" s="14">
        <v>0</v>
      </c>
      <c r="BA86" s="14">
        <v>0</v>
      </c>
      <c r="BB86" s="14">
        <v>0</v>
      </c>
      <c r="BC86" s="16">
        <v>0</v>
      </c>
    </row>
    <row r="87" spans="1:55" ht="12.75">
      <c r="A87" s="23">
        <v>6.4</v>
      </c>
      <c r="B87" s="19" t="s">
        <v>978</v>
      </c>
      <c r="C87" s="14">
        <v>680</v>
      </c>
      <c r="D87" s="15">
        <v>0.37777777777777777</v>
      </c>
      <c r="E87" s="14">
        <v>0</v>
      </c>
      <c r="F87" s="14">
        <v>51.24675555555555</v>
      </c>
      <c r="G87" s="14">
        <v>39.14</v>
      </c>
      <c r="H87" s="14">
        <v>0</v>
      </c>
      <c r="I87" s="14">
        <v>28.92376113128132</v>
      </c>
      <c r="J87" s="14">
        <v>119.31051668683688</v>
      </c>
      <c r="K87" s="22"/>
      <c r="N87" s="14">
        <v>70</v>
      </c>
      <c r="O87" s="15">
        <v>0.03888888888888889</v>
      </c>
      <c r="P87" s="14">
        <v>0</v>
      </c>
      <c r="Q87" s="14">
        <v>5.9750444444444435</v>
      </c>
      <c r="R87" s="14">
        <v>0</v>
      </c>
      <c r="S87" s="14">
        <v>0</v>
      </c>
      <c r="T87" s="14">
        <v>1.912014179485374</v>
      </c>
      <c r="U87" s="14">
        <v>7.887058623929818</v>
      </c>
      <c r="V87" s="16">
        <v>0.06610530943078188</v>
      </c>
      <c r="Y87" s="14">
        <v>370</v>
      </c>
      <c r="Z87" s="15">
        <v>0.20555555555555555</v>
      </c>
      <c r="AA87" s="14">
        <v>0</v>
      </c>
      <c r="AB87" s="14">
        <v>29.7952</v>
      </c>
      <c r="AC87" s="14">
        <v>0</v>
      </c>
      <c r="AD87" s="14">
        <v>0</v>
      </c>
      <c r="AE87" s="14">
        <v>9.534463786888123</v>
      </c>
      <c r="AF87" s="14">
        <v>39.329663786888126</v>
      </c>
      <c r="AG87" s="16">
        <v>0.32964121587135187</v>
      </c>
      <c r="AJ87" s="14">
        <v>240</v>
      </c>
      <c r="AK87" s="15">
        <v>0.13333333333333333</v>
      </c>
      <c r="AL87" s="14">
        <v>0</v>
      </c>
      <c r="AM87" s="14">
        <v>15.476511111111112</v>
      </c>
      <c r="AN87" s="14">
        <v>39.14</v>
      </c>
      <c r="AO87" s="14">
        <v>0</v>
      </c>
      <c r="AP87" s="14">
        <v>17.477283164907824</v>
      </c>
      <c r="AQ87" s="14">
        <v>72.09379427601894</v>
      </c>
      <c r="AR87" s="16">
        <v>0.6042534746978663</v>
      </c>
      <c r="AU87" s="14">
        <v>0</v>
      </c>
      <c r="AV87" s="15">
        <v>0</v>
      </c>
      <c r="AW87" s="14">
        <v>0</v>
      </c>
      <c r="AX87" s="14">
        <v>0</v>
      </c>
      <c r="AY87" s="14">
        <v>0</v>
      </c>
      <c r="AZ87" s="14">
        <v>0</v>
      </c>
      <c r="BA87" s="14">
        <v>0</v>
      </c>
      <c r="BB87" s="14">
        <v>0</v>
      </c>
      <c r="BC87" s="16">
        <v>0</v>
      </c>
    </row>
    <row r="88" spans="1:56" ht="12.75">
      <c r="A88" s="8">
        <v>7</v>
      </c>
      <c r="B88" s="9" t="s">
        <v>979</v>
      </c>
      <c r="C88" s="25"/>
      <c r="D88" s="25"/>
      <c r="E88" s="25"/>
      <c r="F88" s="25"/>
      <c r="G88" s="25"/>
      <c r="H88" s="25"/>
      <c r="I88" s="25"/>
      <c r="J88" s="25"/>
      <c r="K88" s="11">
        <v>0.04574544546462308</v>
      </c>
      <c r="L88" s="12">
        <v>1931.6826373113986</v>
      </c>
      <c r="N88" s="25"/>
      <c r="O88" s="25"/>
      <c r="P88" s="25"/>
      <c r="Q88" s="25"/>
      <c r="R88" s="25"/>
      <c r="S88" s="25"/>
      <c r="T88" s="25"/>
      <c r="U88" s="25"/>
      <c r="V88" s="25"/>
      <c r="W88" s="12">
        <v>116.12322425428611</v>
      </c>
      <c r="Y88" s="25"/>
      <c r="Z88" s="25"/>
      <c r="AA88" s="25"/>
      <c r="AB88" s="25"/>
      <c r="AC88" s="25"/>
      <c r="AD88" s="25"/>
      <c r="AE88" s="25"/>
      <c r="AF88" s="25"/>
      <c r="AG88" s="25"/>
      <c r="AH88" s="12">
        <v>505.12898155023595</v>
      </c>
      <c r="AJ88" s="25"/>
      <c r="AK88" s="25"/>
      <c r="AL88" s="25"/>
      <c r="AM88" s="25"/>
      <c r="AN88" s="25"/>
      <c r="AO88" s="25"/>
      <c r="AP88" s="25"/>
      <c r="AQ88" s="25"/>
      <c r="AR88" s="25"/>
      <c r="AS88" s="12">
        <v>1289.9170937013103</v>
      </c>
      <c r="AU88" s="25"/>
      <c r="AV88" s="25"/>
      <c r="AW88" s="25"/>
      <c r="AX88" s="25"/>
      <c r="AY88" s="25"/>
      <c r="AZ88" s="25"/>
      <c r="BA88" s="25"/>
      <c r="BB88" s="25"/>
      <c r="BC88" s="25"/>
      <c r="BD88" s="12">
        <v>20.51333780556619</v>
      </c>
    </row>
    <row r="89" spans="1:55" ht="12.75">
      <c r="A89" s="13">
        <v>7.1</v>
      </c>
      <c r="B89" s="19" t="s">
        <v>980</v>
      </c>
      <c r="C89" s="14">
        <v>0</v>
      </c>
      <c r="D89" s="15">
        <v>0</v>
      </c>
      <c r="E89" s="14">
        <v>0</v>
      </c>
      <c r="F89" s="14">
        <v>0</v>
      </c>
      <c r="G89" s="14">
        <v>0</v>
      </c>
      <c r="H89" s="14">
        <v>0</v>
      </c>
      <c r="I89" s="14">
        <v>0</v>
      </c>
      <c r="J89" s="14">
        <v>0</v>
      </c>
      <c r="K89" s="22"/>
      <c r="N89" s="14">
        <v>0</v>
      </c>
      <c r="O89" s="15">
        <v>0</v>
      </c>
      <c r="P89" s="14">
        <v>0</v>
      </c>
      <c r="Q89" s="14">
        <v>0</v>
      </c>
      <c r="R89" s="14">
        <v>0</v>
      </c>
      <c r="S89" s="14">
        <v>0</v>
      </c>
      <c r="T89" s="14">
        <v>0</v>
      </c>
      <c r="U89" s="14">
        <v>0</v>
      </c>
      <c r="V89" s="16">
        <v>0</v>
      </c>
      <c r="Y89" s="14">
        <v>0</v>
      </c>
      <c r="Z89" s="15">
        <v>0</v>
      </c>
      <c r="AA89" s="14">
        <v>0</v>
      </c>
      <c r="AB89" s="14">
        <v>0</v>
      </c>
      <c r="AC89" s="14">
        <v>0</v>
      </c>
      <c r="AD89" s="14">
        <v>0</v>
      </c>
      <c r="AE89" s="14">
        <v>0</v>
      </c>
      <c r="AF89" s="14">
        <v>0</v>
      </c>
      <c r="AG89" s="16">
        <v>0</v>
      </c>
      <c r="AJ89" s="14">
        <v>0</v>
      </c>
      <c r="AK89" s="15">
        <v>0</v>
      </c>
      <c r="AL89" s="14">
        <v>0</v>
      </c>
      <c r="AM89" s="14">
        <v>0</v>
      </c>
      <c r="AN89" s="14">
        <v>0</v>
      </c>
      <c r="AO89" s="14">
        <v>0</v>
      </c>
      <c r="AP89" s="14">
        <v>0</v>
      </c>
      <c r="AQ89" s="14">
        <v>0</v>
      </c>
      <c r="AR89" s="16">
        <v>0</v>
      </c>
      <c r="AU89" s="14">
        <v>0</v>
      </c>
      <c r="AV89" s="15">
        <v>0</v>
      </c>
      <c r="AW89" s="14">
        <v>0</v>
      </c>
      <c r="AX89" s="14">
        <v>0</v>
      </c>
      <c r="AY89" s="14">
        <v>0</v>
      </c>
      <c r="AZ89" s="14">
        <v>0</v>
      </c>
      <c r="BA89" s="14">
        <v>0</v>
      </c>
      <c r="BB89" s="14">
        <v>0</v>
      </c>
      <c r="BC89" s="16">
        <v>0</v>
      </c>
    </row>
    <row r="90" spans="1:55" ht="12.75">
      <c r="A90" s="13">
        <v>7.2</v>
      </c>
      <c r="B90" s="13" t="s">
        <v>981</v>
      </c>
      <c r="C90" s="14">
        <v>6270</v>
      </c>
      <c r="D90" s="15">
        <v>3.4833333333333334</v>
      </c>
      <c r="E90" s="14">
        <v>3</v>
      </c>
      <c r="F90" s="14">
        <v>381.0160333333333</v>
      </c>
      <c r="G90" s="14">
        <v>351.21</v>
      </c>
      <c r="H90" s="14">
        <v>12.175205322265626</v>
      </c>
      <c r="I90" s="14">
        <v>181.79780340180608</v>
      </c>
      <c r="J90" s="14">
        <v>926.199042057405</v>
      </c>
      <c r="K90" s="22"/>
      <c r="N90" s="14">
        <v>660</v>
      </c>
      <c r="O90" s="15">
        <v>0.36666666666666664</v>
      </c>
      <c r="P90" s="14">
        <v>1</v>
      </c>
      <c r="Q90" s="14">
        <v>45.34455555555555</v>
      </c>
      <c r="R90" s="14">
        <v>5</v>
      </c>
      <c r="S90" s="14">
        <v>3.771735107421875</v>
      </c>
      <c r="T90" s="14">
        <v>14.070235056280966</v>
      </c>
      <c r="U90" s="14">
        <v>68.1865257192584</v>
      </c>
      <c r="V90" s="16">
        <v>0.07361973250133448</v>
      </c>
      <c r="Y90" s="14">
        <v>2450</v>
      </c>
      <c r="Z90" s="15">
        <v>1.3611111111111112</v>
      </c>
      <c r="AA90" s="14">
        <v>0</v>
      </c>
      <c r="AB90" s="14">
        <v>164.91523333333333</v>
      </c>
      <c r="AC90" s="14">
        <v>30</v>
      </c>
      <c r="AD90" s="14">
        <v>0.86</v>
      </c>
      <c r="AE90" s="14">
        <v>39.15504725012233</v>
      </c>
      <c r="AF90" s="14">
        <v>234.93028058345567</v>
      </c>
      <c r="AG90" s="16">
        <v>0.2536498850847385</v>
      </c>
      <c r="AJ90" s="14">
        <v>3160</v>
      </c>
      <c r="AK90" s="15">
        <v>1.7555555555555555</v>
      </c>
      <c r="AL90" s="14">
        <v>2</v>
      </c>
      <c r="AM90" s="14">
        <v>170.75624444444446</v>
      </c>
      <c r="AN90" s="14">
        <v>316.21</v>
      </c>
      <c r="AO90" s="14">
        <v>7.54347021484375</v>
      </c>
      <c r="AP90" s="14">
        <v>128.57252109540278</v>
      </c>
      <c r="AQ90" s="14">
        <v>623.0822357546909</v>
      </c>
      <c r="AR90" s="16">
        <v>0.672730382413927</v>
      </c>
      <c r="AU90" s="14">
        <v>0</v>
      </c>
      <c r="AV90" s="15">
        <v>0</v>
      </c>
      <c r="AW90" s="14">
        <v>0</v>
      </c>
      <c r="AX90" s="14">
        <v>0</v>
      </c>
      <c r="AY90" s="14">
        <v>0</v>
      </c>
      <c r="AZ90" s="14">
        <v>0</v>
      </c>
      <c r="BA90" s="14">
        <v>0</v>
      </c>
      <c r="BB90" s="14">
        <v>0</v>
      </c>
      <c r="BC90" s="16">
        <v>0</v>
      </c>
    </row>
    <row r="91" spans="1:55" ht="12.75">
      <c r="A91" s="13">
        <v>7.3</v>
      </c>
      <c r="B91" s="19" t="s">
        <v>982</v>
      </c>
      <c r="C91" s="14">
        <v>4423</v>
      </c>
      <c r="D91" s="15">
        <v>2.457222222222222</v>
      </c>
      <c r="E91" s="14">
        <v>0</v>
      </c>
      <c r="F91" s="14">
        <v>247.81262555555554</v>
      </c>
      <c r="G91" s="14">
        <v>354.002</v>
      </c>
      <c r="H91" s="14">
        <v>0</v>
      </c>
      <c r="I91" s="14">
        <v>132.39921690480327</v>
      </c>
      <c r="J91" s="14">
        <v>734.2138424603588</v>
      </c>
      <c r="K91" s="22"/>
      <c r="N91" s="14">
        <v>280</v>
      </c>
      <c r="O91" s="15">
        <v>0.15555555555555556</v>
      </c>
      <c r="P91" s="14">
        <v>0</v>
      </c>
      <c r="Q91" s="14">
        <v>21.857688888888887</v>
      </c>
      <c r="R91" s="14">
        <v>0</v>
      </c>
      <c r="S91" s="14">
        <v>0</v>
      </c>
      <c r="T91" s="14">
        <v>4.80869152949916</v>
      </c>
      <c r="U91" s="14">
        <v>26.666380418388048</v>
      </c>
      <c r="V91" s="16">
        <v>0.036319637244959464</v>
      </c>
      <c r="Y91" s="14">
        <v>1136</v>
      </c>
      <c r="Z91" s="15">
        <v>0.6311111111111111</v>
      </c>
      <c r="AA91" s="14">
        <v>0</v>
      </c>
      <c r="AB91" s="14">
        <v>78.20801222222221</v>
      </c>
      <c r="AC91" s="14">
        <v>70</v>
      </c>
      <c r="AD91" s="14">
        <v>0</v>
      </c>
      <c r="AE91" s="14">
        <v>32.60576251221117</v>
      </c>
      <c r="AF91" s="14">
        <v>180.81377473443337</v>
      </c>
      <c r="AG91" s="16">
        <v>0.2462685450447575</v>
      </c>
      <c r="AJ91" s="14">
        <v>3007</v>
      </c>
      <c r="AK91" s="15">
        <v>1.6705555555555556</v>
      </c>
      <c r="AL91" s="14">
        <v>0</v>
      </c>
      <c r="AM91" s="14">
        <v>147.74692444444446</v>
      </c>
      <c r="AN91" s="14">
        <v>284.002</v>
      </c>
      <c r="AO91" s="14">
        <v>0</v>
      </c>
      <c r="AP91" s="14">
        <v>94.98476286309295</v>
      </c>
      <c r="AQ91" s="14">
        <v>526.7336873075374</v>
      </c>
      <c r="AR91" s="16">
        <v>0.717411817710283</v>
      </c>
      <c r="AU91" s="14">
        <v>0</v>
      </c>
      <c r="AV91" s="15">
        <v>0</v>
      </c>
      <c r="AW91" s="14">
        <v>0</v>
      </c>
      <c r="AX91" s="14">
        <v>0</v>
      </c>
      <c r="AY91" s="14">
        <v>0</v>
      </c>
      <c r="AZ91" s="14">
        <v>0</v>
      </c>
      <c r="BA91" s="14">
        <v>0</v>
      </c>
      <c r="BB91" s="14">
        <v>0</v>
      </c>
      <c r="BC91" s="16">
        <v>0</v>
      </c>
    </row>
    <row r="92" spans="1:55" ht="12.75">
      <c r="A92" s="13">
        <v>7.4</v>
      </c>
      <c r="B92" s="13" t="s">
        <v>983</v>
      </c>
      <c r="C92" s="14">
        <v>1200</v>
      </c>
      <c r="D92" s="15">
        <v>0.6666666666666666</v>
      </c>
      <c r="E92" s="14">
        <v>0</v>
      </c>
      <c r="F92" s="14">
        <v>89.5415111111111</v>
      </c>
      <c r="G92" s="14">
        <v>46.35</v>
      </c>
      <c r="H92" s="14">
        <v>0</v>
      </c>
      <c r="I92" s="14">
        <v>17.395956098404525</v>
      </c>
      <c r="J92" s="14">
        <v>153.28746720951563</v>
      </c>
      <c r="K92" s="22"/>
      <c r="N92" s="14">
        <v>100</v>
      </c>
      <c r="O92" s="15">
        <v>0.05555555555555555</v>
      </c>
      <c r="P92" s="14">
        <v>0</v>
      </c>
      <c r="Q92" s="14">
        <v>8.303</v>
      </c>
      <c r="R92" s="14">
        <v>0</v>
      </c>
      <c r="S92" s="14">
        <v>0</v>
      </c>
      <c r="T92" s="14">
        <v>0.8303000123724341</v>
      </c>
      <c r="U92" s="14">
        <v>9.133300012372436</v>
      </c>
      <c r="V92" s="16">
        <v>0.05958282290546887</v>
      </c>
      <c r="Y92" s="14">
        <v>380</v>
      </c>
      <c r="Z92" s="15">
        <v>0.2111111111111111</v>
      </c>
      <c r="AA92" s="14">
        <v>0</v>
      </c>
      <c r="AB92" s="14">
        <v>32.80393333333333</v>
      </c>
      <c r="AC92" s="14">
        <v>0</v>
      </c>
      <c r="AD92" s="14">
        <v>0</v>
      </c>
      <c r="AE92" s="14">
        <v>3.2803933822150033</v>
      </c>
      <c r="AF92" s="14">
        <v>36.084326715548336</v>
      </c>
      <c r="AG92" s="16">
        <v>0.23540298089880846</v>
      </c>
      <c r="AJ92" s="14">
        <v>520</v>
      </c>
      <c r="AK92" s="15">
        <v>0.28888888888888886</v>
      </c>
      <c r="AL92" s="14">
        <v>0</v>
      </c>
      <c r="AM92" s="14">
        <v>29.786088888888887</v>
      </c>
      <c r="AN92" s="14">
        <v>46.35</v>
      </c>
      <c r="AO92" s="14">
        <v>0</v>
      </c>
      <c r="AP92" s="14">
        <v>11.420413787139786</v>
      </c>
      <c r="AQ92" s="14">
        <v>87.55650267602869</v>
      </c>
      <c r="AR92" s="16">
        <v>0.5711915283743004</v>
      </c>
      <c r="AU92" s="14">
        <v>200</v>
      </c>
      <c r="AV92" s="15">
        <v>0.1111111111111111</v>
      </c>
      <c r="AW92" s="14">
        <v>0</v>
      </c>
      <c r="AX92" s="14">
        <v>18.64848888888889</v>
      </c>
      <c r="AY92" s="14">
        <v>0</v>
      </c>
      <c r="AZ92" s="14">
        <v>0</v>
      </c>
      <c r="BA92" s="14">
        <v>1.8648489166773028</v>
      </c>
      <c r="BB92" s="14">
        <v>20.51333780556619</v>
      </c>
      <c r="BC92" s="16">
        <v>0.13382266782142244</v>
      </c>
    </row>
    <row r="93" spans="1:55" ht="12.75">
      <c r="A93" s="13">
        <v>7.5</v>
      </c>
      <c r="B93" s="19" t="s">
        <v>984</v>
      </c>
      <c r="C93" s="14">
        <v>1024</v>
      </c>
      <c r="D93" s="15">
        <v>0.5688888888888889</v>
      </c>
      <c r="E93" s="14">
        <v>0</v>
      </c>
      <c r="F93" s="14">
        <v>74.62132666666666</v>
      </c>
      <c r="G93" s="14">
        <v>30.72</v>
      </c>
      <c r="H93" s="14">
        <v>0</v>
      </c>
      <c r="I93" s="14">
        <v>12.640958917452544</v>
      </c>
      <c r="J93" s="14">
        <v>117.98228558411921</v>
      </c>
      <c r="K93" s="22"/>
      <c r="N93" s="14">
        <v>61</v>
      </c>
      <c r="O93" s="15">
        <v>0.03388888888888889</v>
      </c>
      <c r="P93" s="14">
        <v>0</v>
      </c>
      <c r="Q93" s="14">
        <v>4.836623333333333</v>
      </c>
      <c r="R93" s="14">
        <v>6</v>
      </c>
      <c r="S93" s="14">
        <v>0</v>
      </c>
      <c r="T93" s="14">
        <v>1.3003947709339112</v>
      </c>
      <c r="U93" s="14">
        <v>12.137018104267243</v>
      </c>
      <c r="V93" s="16">
        <v>0.10287152892638082</v>
      </c>
      <c r="Y93" s="14">
        <v>619</v>
      </c>
      <c r="Z93" s="15">
        <v>0.3438888888888889</v>
      </c>
      <c r="AA93" s="14">
        <v>0</v>
      </c>
      <c r="AB93" s="14">
        <v>47.58982111111111</v>
      </c>
      <c r="AC93" s="14">
        <v>0</v>
      </c>
      <c r="AD93" s="14">
        <v>0</v>
      </c>
      <c r="AE93" s="14">
        <v>5.710778405687486</v>
      </c>
      <c r="AF93" s="14">
        <v>53.30059951679859</v>
      </c>
      <c r="AG93" s="16">
        <v>0.4517678162693012</v>
      </c>
      <c r="AJ93" s="14">
        <v>344</v>
      </c>
      <c r="AK93" s="15">
        <v>0.19111111111111112</v>
      </c>
      <c r="AL93" s="14">
        <v>0</v>
      </c>
      <c r="AM93" s="14">
        <v>22.194882222222223</v>
      </c>
      <c r="AN93" s="14">
        <v>24.72</v>
      </c>
      <c r="AO93" s="14">
        <v>0</v>
      </c>
      <c r="AP93" s="14">
        <v>5.629785740831147</v>
      </c>
      <c r="AQ93" s="14">
        <v>52.544667963053364</v>
      </c>
      <c r="AR93" s="16">
        <v>0.44536065480431786</v>
      </c>
      <c r="AU93" s="14">
        <v>0</v>
      </c>
      <c r="AV93" s="15">
        <v>0</v>
      </c>
      <c r="AW93" s="14">
        <v>0</v>
      </c>
      <c r="AX93" s="14">
        <v>0</v>
      </c>
      <c r="AY93" s="14">
        <v>0</v>
      </c>
      <c r="AZ93" s="14">
        <v>0</v>
      </c>
      <c r="BA93" s="14">
        <v>0</v>
      </c>
      <c r="BB93" s="14">
        <v>0</v>
      </c>
      <c r="BC93" s="16">
        <v>0</v>
      </c>
    </row>
    <row r="94" spans="1:56" ht="12.75">
      <c r="A94" s="8">
        <v>8</v>
      </c>
      <c r="B94" s="9" t="s">
        <v>985</v>
      </c>
      <c r="C94" s="25"/>
      <c r="D94" s="25"/>
      <c r="E94" s="25"/>
      <c r="F94" s="25"/>
      <c r="G94" s="25"/>
      <c r="H94" s="25"/>
      <c r="I94" s="25"/>
      <c r="J94" s="25"/>
      <c r="K94" s="11">
        <v>0.06478030935292621</v>
      </c>
      <c r="L94" s="12">
        <v>2735.4635537100853</v>
      </c>
      <c r="N94" s="25"/>
      <c r="O94" s="25"/>
      <c r="P94" s="25"/>
      <c r="Q94" s="25"/>
      <c r="R94" s="25"/>
      <c r="S94" s="25"/>
      <c r="T94" s="25"/>
      <c r="U94" s="25"/>
      <c r="V94" s="25"/>
      <c r="W94" s="12">
        <v>50.23234480839208</v>
      </c>
      <c r="Y94" s="25"/>
      <c r="Z94" s="25"/>
      <c r="AA94" s="25"/>
      <c r="AB94" s="25"/>
      <c r="AC94" s="25"/>
      <c r="AD94" s="25"/>
      <c r="AE94" s="25"/>
      <c r="AF94" s="25"/>
      <c r="AG94" s="25"/>
      <c r="AH94" s="12">
        <v>114.68755898093855</v>
      </c>
      <c r="AJ94" s="25"/>
      <c r="AK94" s="25"/>
      <c r="AL94" s="25"/>
      <c r="AM94" s="25"/>
      <c r="AN94" s="25"/>
      <c r="AO94" s="25"/>
      <c r="AP94" s="25"/>
      <c r="AQ94" s="25"/>
      <c r="AR94" s="25"/>
      <c r="AS94" s="12">
        <v>136.36902866260095</v>
      </c>
      <c r="AU94" s="25"/>
      <c r="AV94" s="25"/>
      <c r="AW94" s="25"/>
      <c r="AX94" s="25"/>
      <c r="AY94" s="25"/>
      <c r="AZ94" s="25"/>
      <c r="BA94" s="25"/>
      <c r="BB94" s="25"/>
      <c r="BC94" s="25"/>
      <c r="BD94" s="12">
        <v>2434.174621258154</v>
      </c>
    </row>
    <row r="95" spans="1:55" ht="12.75">
      <c r="A95" s="13">
        <v>8.1</v>
      </c>
      <c r="B95" s="19" t="s">
        <v>986</v>
      </c>
      <c r="C95" s="14">
        <v>4040</v>
      </c>
      <c r="D95" s="15">
        <v>2.2444444444444445</v>
      </c>
      <c r="E95" s="14">
        <v>0</v>
      </c>
      <c r="F95" s="14">
        <v>220.14827555555553</v>
      </c>
      <c r="G95" s="14">
        <v>20.6</v>
      </c>
      <c r="H95" s="14">
        <v>0</v>
      </c>
      <c r="I95" s="14">
        <v>85.31302882681872</v>
      </c>
      <c r="J95" s="14">
        <v>326.06130438237426</v>
      </c>
      <c r="K95" s="22"/>
      <c r="N95" s="14">
        <v>120</v>
      </c>
      <c r="O95" s="15">
        <v>0.06666666666666667</v>
      </c>
      <c r="P95" s="14">
        <v>0</v>
      </c>
      <c r="Q95" s="14">
        <v>7.63258888888889</v>
      </c>
      <c r="R95" s="14">
        <v>0</v>
      </c>
      <c r="S95" s="14">
        <v>0</v>
      </c>
      <c r="T95" s="14">
        <v>0.7632589002623327</v>
      </c>
      <c r="U95" s="14">
        <v>8.395847789151222</v>
      </c>
      <c r="V95" s="16">
        <v>0.025749292161652386</v>
      </c>
      <c r="Y95" s="14">
        <v>480</v>
      </c>
      <c r="Z95" s="15">
        <v>0.26666666666666666</v>
      </c>
      <c r="AA95" s="14">
        <v>0</v>
      </c>
      <c r="AB95" s="14">
        <v>26.744666666666664</v>
      </c>
      <c r="AC95" s="14">
        <v>0</v>
      </c>
      <c r="AD95" s="14">
        <v>0</v>
      </c>
      <c r="AE95" s="14">
        <v>2.674466706519325</v>
      </c>
      <c r="AF95" s="14">
        <v>29.41913337318599</v>
      </c>
      <c r="AG95" s="16">
        <v>0.09022577342905423</v>
      </c>
      <c r="AJ95" s="14">
        <v>40</v>
      </c>
      <c r="AK95" s="15">
        <v>0.022222222222222223</v>
      </c>
      <c r="AL95" s="14">
        <v>0</v>
      </c>
      <c r="AM95" s="14">
        <v>2.2436866666666666</v>
      </c>
      <c r="AN95" s="14">
        <v>0</v>
      </c>
      <c r="AO95" s="14">
        <v>0</v>
      </c>
      <c r="AP95" s="14">
        <v>0.2243686700100203</v>
      </c>
      <c r="AQ95" s="14">
        <v>2.468055336676687</v>
      </c>
      <c r="AR95" s="16">
        <v>0.007569298483153898</v>
      </c>
      <c r="AU95" s="14">
        <v>3400</v>
      </c>
      <c r="AV95" s="15">
        <v>1.8888888888888888</v>
      </c>
      <c r="AW95" s="14">
        <v>0</v>
      </c>
      <c r="AX95" s="14">
        <v>183.5273333333333</v>
      </c>
      <c r="AY95" s="14">
        <v>20.6</v>
      </c>
      <c r="AZ95" s="14">
        <v>0</v>
      </c>
      <c r="BA95" s="14">
        <v>81.65093455002705</v>
      </c>
      <c r="BB95" s="14">
        <v>285.77826788336034</v>
      </c>
      <c r="BC95" s="16">
        <v>0.8764556359261394</v>
      </c>
    </row>
    <row r="96" spans="1:55" ht="12.75">
      <c r="A96" s="13">
        <v>8.2</v>
      </c>
      <c r="B96" s="13" t="s">
        <v>987</v>
      </c>
      <c r="C96" s="14">
        <v>1040</v>
      </c>
      <c r="D96" s="15">
        <v>0.5777777777777777</v>
      </c>
      <c r="E96" s="14">
        <v>0</v>
      </c>
      <c r="F96" s="14">
        <v>46.773955555555546</v>
      </c>
      <c r="G96" s="14">
        <v>40.17</v>
      </c>
      <c r="H96" s="14">
        <v>0</v>
      </c>
      <c r="I96" s="14">
        <v>17.38879137022429</v>
      </c>
      <c r="J96" s="14">
        <v>104.33274692577984</v>
      </c>
      <c r="K96" s="22"/>
      <c r="N96" s="14">
        <v>0</v>
      </c>
      <c r="O96" s="15">
        <v>0</v>
      </c>
      <c r="P96" s="14">
        <v>0</v>
      </c>
      <c r="Q96" s="14">
        <v>0</v>
      </c>
      <c r="R96" s="14">
        <v>0</v>
      </c>
      <c r="S96" s="14">
        <v>0</v>
      </c>
      <c r="T96" s="14">
        <v>0</v>
      </c>
      <c r="U96" s="14">
        <v>0</v>
      </c>
      <c r="V96" s="16">
        <v>0</v>
      </c>
      <c r="Y96" s="14">
        <v>0</v>
      </c>
      <c r="Z96" s="15">
        <v>0</v>
      </c>
      <c r="AA96" s="14">
        <v>0</v>
      </c>
      <c r="AB96" s="14">
        <v>0</v>
      </c>
      <c r="AC96" s="14">
        <v>0</v>
      </c>
      <c r="AD96" s="14">
        <v>0</v>
      </c>
      <c r="AE96" s="14">
        <v>0</v>
      </c>
      <c r="AF96" s="14">
        <v>0</v>
      </c>
      <c r="AG96" s="16">
        <v>0</v>
      </c>
      <c r="AJ96" s="14">
        <v>0</v>
      </c>
      <c r="AK96" s="15">
        <v>0</v>
      </c>
      <c r="AL96" s="14">
        <v>0</v>
      </c>
      <c r="AM96" s="14">
        <v>0</v>
      </c>
      <c r="AN96" s="14">
        <v>0</v>
      </c>
      <c r="AO96" s="14">
        <v>0</v>
      </c>
      <c r="AP96" s="14">
        <v>0</v>
      </c>
      <c r="AQ96" s="14">
        <v>0</v>
      </c>
      <c r="AR96" s="16">
        <v>0</v>
      </c>
      <c r="AU96" s="14">
        <v>1040</v>
      </c>
      <c r="AV96" s="15">
        <v>0.5777777777777777</v>
      </c>
      <c r="AW96" s="14">
        <v>0</v>
      </c>
      <c r="AX96" s="14">
        <v>46.773955555555546</v>
      </c>
      <c r="AY96" s="14">
        <v>40.17</v>
      </c>
      <c r="AZ96" s="14">
        <v>0</v>
      </c>
      <c r="BA96" s="14">
        <v>17.38879137022429</v>
      </c>
      <c r="BB96" s="14">
        <v>104.33274692577984</v>
      </c>
      <c r="BC96" s="16">
        <v>1</v>
      </c>
    </row>
    <row r="97" spans="1:55" ht="12.75">
      <c r="A97" s="13">
        <v>8.3</v>
      </c>
      <c r="B97" s="13" t="s">
        <v>988</v>
      </c>
      <c r="C97" s="14">
        <v>1100</v>
      </c>
      <c r="D97" s="15">
        <v>0.6111111111111112</v>
      </c>
      <c r="E97" s="14">
        <v>0</v>
      </c>
      <c r="F97" s="14">
        <v>51.86758888888889</v>
      </c>
      <c r="G97" s="14">
        <v>40.685</v>
      </c>
      <c r="H97" s="14">
        <v>0</v>
      </c>
      <c r="I97" s="14">
        <v>24.06367222846084</v>
      </c>
      <c r="J97" s="14">
        <v>116.61626111734974</v>
      </c>
      <c r="K97" s="22"/>
      <c r="N97" s="14">
        <v>0</v>
      </c>
      <c r="O97" s="15">
        <v>0</v>
      </c>
      <c r="P97" s="14">
        <v>0</v>
      </c>
      <c r="Q97" s="14">
        <v>0</v>
      </c>
      <c r="R97" s="14">
        <v>0</v>
      </c>
      <c r="S97" s="14">
        <v>0</v>
      </c>
      <c r="T97" s="14">
        <v>0</v>
      </c>
      <c r="U97" s="14">
        <v>0</v>
      </c>
      <c r="V97" s="16">
        <v>0</v>
      </c>
      <c r="Y97" s="14">
        <v>0</v>
      </c>
      <c r="Z97" s="15">
        <v>0</v>
      </c>
      <c r="AA97" s="14">
        <v>0</v>
      </c>
      <c r="AB97" s="14">
        <v>0</v>
      </c>
      <c r="AC97" s="14">
        <v>0</v>
      </c>
      <c r="AD97" s="14">
        <v>0</v>
      </c>
      <c r="AE97" s="14">
        <v>0</v>
      </c>
      <c r="AF97" s="14">
        <v>0</v>
      </c>
      <c r="AG97" s="16">
        <v>0</v>
      </c>
      <c r="AJ97" s="14">
        <v>0</v>
      </c>
      <c r="AK97" s="15">
        <v>0</v>
      </c>
      <c r="AL97" s="14">
        <v>0</v>
      </c>
      <c r="AM97" s="14">
        <v>0</v>
      </c>
      <c r="AN97" s="14">
        <v>0</v>
      </c>
      <c r="AO97" s="14">
        <v>0</v>
      </c>
      <c r="AP97" s="14">
        <v>0</v>
      </c>
      <c r="AQ97" s="14">
        <v>0</v>
      </c>
      <c r="AR97" s="16">
        <v>0</v>
      </c>
      <c r="AU97" s="14">
        <v>1100</v>
      </c>
      <c r="AV97" s="15">
        <v>0.6111111111111112</v>
      </c>
      <c r="AW97" s="14">
        <v>0</v>
      </c>
      <c r="AX97" s="14">
        <v>51.86758888888889</v>
      </c>
      <c r="AY97" s="14">
        <v>40.685</v>
      </c>
      <c r="AZ97" s="14">
        <v>0</v>
      </c>
      <c r="BA97" s="14">
        <v>24.06367222846084</v>
      </c>
      <c r="BB97" s="14">
        <v>116.61626111734974</v>
      </c>
      <c r="BC97" s="16">
        <v>1</v>
      </c>
    </row>
    <row r="98" spans="1:55" ht="12.75">
      <c r="A98" s="13">
        <v>8.4</v>
      </c>
      <c r="B98" s="13" t="s">
        <v>989</v>
      </c>
      <c r="C98" s="14">
        <v>6850</v>
      </c>
      <c r="D98" s="15">
        <v>3.8055555555555554</v>
      </c>
      <c r="E98" s="14">
        <v>4</v>
      </c>
      <c r="F98" s="14">
        <v>443.1758166666668</v>
      </c>
      <c r="G98" s="14">
        <v>10.3</v>
      </c>
      <c r="H98" s="14">
        <v>27.55694140625</v>
      </c>
      <c r="I98" s="14">
        <v>92.7978149127216</v>
      </c>
      <c r="J98" s="14">
        <v>573.8305729856384</v>
      </c>
      <c r="K98" s="22"/>
      <c r="N98" s="14">
        <v>170</v>
      </c>
      <c r="O98" s="15">
        <v>0.09444444444444444</v>
      </c>
      <c r="P98" s="14">
        <v>0</v>
      </c>
      <c r="Q98" s="14">
        <v>10.857244444444445</v>
      </c>
      <c r="R98" s="14">
        <v>0</v>
      </c>
      <c r="S98" s="14">
        <v>0</v>
      </c>
      <c r="T98" s="14">
        <v>0.8685795361412896</v>
      </c>
      <c r="U98" s="14">
        <v>11.725823980585735</v>
      </c>
      <c r="V98" s="16">
        <v>0.020434296345655332</v>
      </c>
      <c r="Y98" s="14">
        <v>100</v>
      </c>
      <c r="Z98" s="15">
        <v>0.05555555555555555</v>
      </c>
      <c r="AA98" s="14">
        <v>0</v>
      </c>
      <c r="AB98" s="14">
        <v>6.764744444444444</v>
      </c>
      <c r="AC98" s="14">
        <v>0</v>
      </c>
      <c r="AD98" s="14">
        <v>0</v>
      </c>
      <c r="AE98" s="14">
        <v>0.5411795434592499</v>
      </c>
      <c r="AF98" s="14">
        <v>7.305923987903694</v>
      </c>
      <c r="AG98" s="16">
        <v>0.012731848618471125</v>
      </c>
      <c r="AJ98" s="14">
        <v>180</v>
      </c>
      <c r="AK98" s="15">
        <v>0.1</v>
      </c>
      <c r="AL98" s="14">
        <v>0</v>
      </c>
      <c r="AM98" s="14">
        <v>10.78416111111111</v>
      </c>
      <c r="AN98" s="14">
        <v>0</v>
      </c>
      <c r="AO98" s="14">
        <v>0</v>
      </c>
      <c r="AP98" s="14">
        <v>0.862732869605306</v>
      </c>
      <c r="AQ98" s="14">
        <v>11.646893980716417</v>
      </c>
      <c r="AR98" s="16">
        <v>0.020296747034787063</v>
      </c>
      <c r="AU98" s="14">
        <v>6400</v>
      </c>
      <c r="AV98" s="15">
        <v>3.5555555555555554</v>
      </c>
      <c r="AW98" s="14">
        <v>4</v>
      </c>
      <c r="AX98" s="14">
        <v>414.76966666666675</v>
      </c>
      <c r="AY98" s="14">
        <v>10.3</v>
      </c>
      <c r="AZ98" s="14">
        <v>27.55694140625</v>
      </c>
      <c r="BA98" s="14">
        <v>90.52532296351576</v>
      </c>
      <c r="BB98" s="14">
        <v>543.1519310364325</v>
      </c>
      <c r="BC98" s="16">
        <v>0.9465371080010865</v>
      </c>
    </row>
    <row r="99" spans="1:55" ht="12.75">
      <c r="A99" s="13">
        <v>8.5</v>
      </c>
      <c r="B99" s="19" t="s">
        <v>990</v>
      </c>
      <c r="C99" s="14">
        <v>3798</v>
      </c>
      <c r="D99" s="15">
        <v>2.11</v>
      </c>
      <c r="E99" s="14">
        <v>0</v>
      </c>
      <c r="F99" s="14">
        <v>230.7275977777778</v>
      </c>
      <c r="G99" s="14">
        <v>0</v>
      </c>
      <c r="H99" s="14">
        <v>0</v>
      </c>
      <c r="I99" s="14">
        <v>58.72547245412257</v>
      </c>
      <c r="J99" s="14">
        <v>289.45307023190037</v>
      </c>
      <c r="K99" s="22"/>
      <c r="N99" s="14">
        <v>212</v>
      </c>
      <c r="O99" s="15">
        <v>0.11777777777777777</v>
      </c>
      <c r="P99" s="14">
        <v>0</v>
      </c>
      <c r="Q99" s="14">
        <v>16.206546666666664</v>
      </c>
      <c r="R99" s="14">
        <v>0</v>
      </c>
      <c r="S99" s="14">
        <v>0</v>
      </c>
      <c r="T99" s="14">
        <v>1.2965237043537696</v>
      </c>
      <c r="U99" s="14">
        <v>17.503070371020435</v>
      </c>
      <c r="V99" s="16">
        <v>0.06046945833740007</v>
      </c>
      <c r="Y99" s="14">
        <v>176</v>
      </c>
      <c r="Z99" s="15">
        <v>0.09777777777777778</v>
      </c>
      <c r="AA99" s="14">
        <v>0</v>
      </c>
      <c r="AB99" s="14">
        <v>13.18472888888889</v>
      </c>
      <c r="AC99" s="14">
        <v>0</v>
      </c>
      <c r="AD99" s="14">
        <v>0</v>
      </c>
      <c r="AE99" s="14">
        <v>1.0547782875349787</v>
      </c>
      <c r="AF99" s="14">
        <v>14.239507176423867</v>
      </c>
      <c r="AG99" s="16">
        <v>0.04919452802838</v>
      </c>
      <c r="AJ99" s="14">
        <v>0</v>
      </c>
      <c r="AK99" s="15">
        <v>0</v>
      </c>
      <c r="AL99" s="14">
        <v>0</v>
      </c>
      <c r="AM99" s="14">
        <v>0</v>
      </c>
      <c r="AN99" s="14">
        <v>0</v>
      </c>
      <c r="AO99" s="14">
        <v>0</v>
      </c>
      <c r="AP99" s="14">
        <v>0</v>
      </c>
      <c r="AQ99" s="14">
        <v>0</v>
      </c>
      <c r="AR99" s="16">
        <v>0</v>
      </c>
      <c r="AU99" s="14">
        <v>3410</v>
      </c>
      <c r="AV99" s="15">
        <v>1.8944444444444444</v>
      </c>
      <c r="AW99" s="14">
        <v>0</v>
      </c>
      <c r="AX99" s="14">
        <v>201.33632222222224</v>
      </c>
      <c r="AY99" s="14">
        <v>0</v>
      </c>
      <c r="AZ99" s="14">
        <v>0</v>
      </c>
      <c r="BA99" s="14">
        <v>56.37417046223382</v>
      </c>
      <c r="BB99" s="14">
        <v>257.7104926844561</v>
      </c>
      <c r="BC99" s="16">
        <v>0.89033601363422</v>
      </c>
    </row>
    <row r="100" spans="1:55" ht="12.75">
      <c r="A100" s="13">
        <v>8.6</v>
      </c>
      <c r="B100" s="19" t="s">
        <v>991</v>
      </c>
      <c r="C100" s="14">
        <v>5030</v>
      </c>
      <c r="D100" s="15">
        <v>2.7944444444444443</v>
      </c>
      <c r="E100" s="14">
        <v>12</v>
      </c>
      <c r="F100" s="14">
        <v>401.14583333333337</v>
      </c>
      <c r="G100" s="14">
        <v>0</v>
      </c>
      <c r="H100" s="14">
        <v>49.5608203125</v>
      </c>
      <c r="I100" s="14">
        <v>89.56366592196785</v>
      </c>
      <c r="J100" s="14">
        <v>540.2703195678013</v>
      </c>
      <c r="K100" s="22"/>
      <c r="N100" s="14">
        <v>40</v>
      </c>
      <c r="O100" s="15">
        <v>0.022222222222222223</v>
      </c>
      <c r="P100" s="14">
        <v>0</v>
      </c>
      <c r="Q100" s="14">
        <v>3.414311111111111</v>
      </c>
      <c r="R100" s="14">
        <v>0</v>
      </c>
      <c r="S100" s="14">
        <v>0</v>
      </c>
      <c r="T100" s="14">
        <v>0.30728801221052804</v>
      </c>
      <c r="U100" s="14">
        <v>3.721599123321639</v>
      </c>
      <c r="V100" s="16">
        <v>0.006888401950895243</v>
      </c>
      <c r="Y100" s="14">
        <v>200</v>
      </c>
      <c r="Z100" s="15">
        <v>0.1111111111111111</v>
      </c>
      <c r="AA100" s="14">
        <v>0</v>
      </c>
      <c r="AB100" s="14">
        <v>18.64848888888889</v>
      </c>
      <c r="AC100" s="14">
        <v>0</v>
      </c>
      <c r="AD100" s="14">
        <v>0</v>
      </c>
      <c r="AE100" s="14">
        <v>1.6783640666921933</v>
      </c>
      <c r="AF100" s="14">
        <v>20.32685295558108</v>
      </c>
      <c r="AG100" s="16">
        <v>0.03762348627968663</v>
      </c>
      <c r="AJ100" s="14">
        <v>590</v>
      </c>
      <c r="AK100" s="15">
        <v>0.3277777777777778</v>
      </c>
      <c r="AL100" s="14">
        <v>0</v>
      </c>
      <c r="AM100" s="14">
        <v>46.23105555555556</v>
      </c>
      <c r="AN100" s="14">
        <v>0</v>
      </c>
      <c r="AO100" s="14">
        <v>0</v>
      </c>
      <c r="AP100" s="14">
        <v>11.095453085330625</v>
      </c>
      <c r="AQ100" s="14">
        <v>57.32650864088618</v>
      </c>
      <c r="AR100" s="16">
        <v>0.10610708485105295</v>
      </c>
      <c r="AU100" s="14">
        <v>4200</v>
      </c>
      <c r="AV100" s="15">
        <v>2.3333333333333335</v>
      </c>
      <c r="AW100" s="14">
        <v>12</v>
      </c>
      <c r="AX100" s="14">
        <v>332.8519777777778</v>
      </c>
      <c r="AY100" s="14">
        <v>0</v>
      </c>
      <c r="AZ100" s="14">
        <v>49.5608203125</v>
      </c>
      <c r="BA100" s="14">
        <v>76.4825607577345</v>
      </c>
      <c r="BB100" s="14">
        <v>458.8953588480123</v>
      </c>
      <c r="BC100" s="16">
        <v>0.849381026918365</v>
      </c>
    </row>
    <row r="101" spans="1:55" ht="12.75">
      <c r="A101" s="13">
        <v>8.7</v>
      </c>
      <c r="B101" s="13" t="s">
        <v>992</v>
      </c>
      <c r="C101" s="14">
        <v>3760</v>
      </c>
      <c r="D101" s="15">
        <v>2.088888888888889</v>
      </c>
      <c r="E101" s="14">
        <v>27</v>
      </c>
      <c r="F101" s="14">
        <v>265.49084444444446</v>
      </c>
      <c r="G101" s="14">
        <v>0</v>
      </c>
      <c r="H101" s="14">
        <v>148.07684375</v>
      </c>
      <c r="I101" s="14">
        <v>123.76395403342691</v>
      </c>
      <c r="J101" s="14">
        <v>537.3316422278714</v>
      </c>
      <c r="K101" s="22"/>
      <c r="N101" s="14">
        <v>0</v>
      </c>
      <c r="O101" s="15">
        <v>0</v>
      </c>
      <c r="P101" s="14">
        <v>0</v>
      </c>
      <c r="Q101" s="14">
        <v>0</v>
      </c>
      <c r="R101" s="14">
        <v>0</v>
      </c>
      <c r="S101" s="14">
        <v>0</v>
      </c>
      <c r="T101" s="14">
        <v>0</v>
      </c>
      <c r="U101" s="14">
        <v>0</v>
      </c>
      <c r="V101" s="16">
        <v>0</v>
      </c>
      <c r="Y101" s="14">
        <v>40</v>
      </c>
      <c r="Z101" s="15">
        <v>0.022222222222222223</v>
      </c>
      <c r="AA101" s="14">
        <v>0</v>
      </c>
      <c r="AB101" s="14">
        <v>1.9147333333333334</v>
      </c>
      <c r="AC101" s="14">
        <v>0</v>
      </c>
      <c r="AD101" s="14">
        <v>0</v>
      </c>
      <c r="AE101" s="14">
        <v>0.2680626678079367</v>
      </c>
      <c r="AF101" s="14">
        <v>2.18279600114127</v>
      </c>
      <c r="AG101" s="16">
        <v>0.004062288221276183</v>
      </c>
      <c r="AJ101" s="14">
        <v>0</v>
      </c>
      <c r="AK101" s="15">
        <v>0</v>
      </c>
      <c r="AL101" s="14">
        <v>0</v>
      </c>
      <c r="AM101" s="14">
        <v>0</v>
      </c>
      <c r="AN101" s="14">
        <v>0</v>
      </c>
      <c r="AO101" s="14">
        <v>0</v>
      </c>
      <c r="AP101" s="14">
        <v>0</v>
      </c>
      <c r="AQ101" s="14">
        <v>0</v>
      </c>
      <c r="AR101" s="16">
        <v>0</v>
      </c>
      <c r="AU101" s="14">
        <v>3720</v>
      </c>
      <c r="AV101" s="15">
        <v>2.066666666666667</v>
      </c>
      <c r="AW101" s="14">
        <v>27</v>
      </c>
      <c r="AX101" s="14">
        <v>263.5761111111111</v>
      </c>
      <c r="AY101" s="14">
        <v>0</v>
      </c>
      <c r="AZ101" s="14">
        <v>148.07684375</v>
      </c>
      <c r="BA101" s="14">
        <v>123.49589136561897</v>
      </c>
      <c r="BB101" s="14">
        <v>535.14884622673</v>
      </c>
      <c r="BC101" s="16">
        <v>0.9959377117787237</v>
      </c>
    </row>
    <row r="102" spans="1:55" ht="12.75">
      <c r="A102" s="13">
        <v>8.8</v>
      </c>
      <c r="B102" s="19" t="s">
        <v>993</v>
      </c>
      <c r="C102" s="14">
        <v>2420</v>
      </c>
      <c r="D102" s="15">
        <v>1.3444444444444446</v>
      </c>
      <c r="E102" s="14">
        <v>17</v>
      </c>
      <c r="F102" s="14">
        <v>150.49004444444444</v>
      </c>
      <c r="G102" s="14">
        <v>0</v>
      </c>
      <c r="H102" s="14">
        <v>64.11949755859375</v>
      </c>
      <c r="I102" s="14">
        <v>32.95809426833219</v>
      </c>
      <c r="J102" s="14">
        <v>247.5676362713704</v>
      </c>
      <c r="K102" s="22"/>
      <c r="N102" s="14">
        <v>80</v>
      </c>
      <c r="O102" s="15">
        <v>0.044444444444444446</v>
      </c>
      <c r="P102" s="14">
        <v>0</v>
      </c>
      <c r="Q102" s="14">
        <v>8.383022222222221</v>
      </c>
      <c r="R102" s="14">
        <v>0</v>
      </c>
      <c r="S102" s="14">
        <v>0</v>
      </c>
      <c r="T102" s="14">
        <v>0.5029813220908245</v>
      </c>
      <c r="U102" s="14">
        <v>8.886003544313047</v>
      </c>
      <c r="V102" s="16">
        <v>0.035893235796672085</v>
      </c>
      <c r="Y102" s="14">
        <v>460</v>
      </c>
      <c r="Z102" s="15">
        <v>0.25555555555555554</v>
      </c>
      <c r="AA102" s="14">
        <v>2</v>
      </c>
      <c r="AB102" s="14">
        <v>31.337044444444444</v>
      </c>
      <c r="AC102" s="14">
        <v>0</v>
      </c>
      <c r="AD102" s="14">
        <v>7.54347021484375</v>
      </c>
      <c r="AE102" s="14">
        <v>2.3328308274144582</v>
      </c>
      <c r="AF102" s="14">
        <v>41.21334548670265</v>
      </c>
      <c r="AG102" s="16">
        <v>0.16647307421688506</v>
      </c>
      <c r="AJ102" s="14">
        <v>600</v>
      </c>
      <c r="AK102" s="15">
        <v>0.3333333333333333</v>
      </c>
      <c r="AL102" s="14">
        <v>5</v>
      </c>
      <c r="AM102" s="14">
        <v>36.16468888888889</v>
      </c>
      <c r="AN102" s="14">
        <v>0</v>
      </c>
      <c r="AO102" s="14">
        <v>18.85867578125</v>
      </c>
      <c r="AP102" s="14">
        <v>9.904206034182772</v>
      </c>
      <c r="AQ102" s="14">
        <v>64.92757070432167</v>
      </c>
      <c r="AR102" s="16">
        <v>0.2622619486222001</v>
      </c>
      <c r="AU102" s="14">
        <v>1280</v>
      </c>
      <c r="AV102" s="15">
        <v>0.7111111111111111</v>
      </c>
      <c r="AW102" s="14">
        <v>10</v>
      </c>
      <c r="AX102" s="14">
        <v>74.6052888888889</v>
      </c>
      <c r="AY102" s="14">
        <v>0</v>
      </c>
      <c r="AZ102" s="14">
        <v>37.7173515625</v>
      </c>
      <c r="BA102" s="14">
        <v>20.218076084644135</v>
      </c>
      <c r="BB102" s="14">
        <v>132.54071653603302</v>
      </c>
      <c r="BC102" s="16">
        <v>0.5353717413642427</v>
      </c>
    </row>
    <row r="103" spans="1:56" ht="12.75">
      <c r="A103" s="8">
        <v>9</v>
      </c>
      <c r="B103" s="9" t="s">
        <v>994</v>
      </c>
      <c r="C103" s="25"/>
      <c r="D103" s="25"/>
      <c r="E103" s="25"/>
      <c r="F103" s="25"/>
      <c r="G103" s="25"/>
      <c r="H103" s="25"/>
      <c r="I103" s="25"/>
      <c r="J103" s="25"/>
      <c r="K103" s="11">
        <v>0.017773019643819027</v>
      </c>
      <c r="L103" s="12">
        <v>750.497303280387</v>
      </c>
      <c r="N103" s="25"/>
      <c r="O103" s="25"/>
      <c r="P103" s="25"/>
      <c r="Q103" s="25"/>
      <c r="R103" s="25"/>
      <c r="S103" s="25"/>
      <c r="T103" s="25"/>
      <c r="U103" s="25"/>
      <c r="V103" s="25"/>
      <c r="W103" s="12">
        <v>15.026651161514867</v>
      </c>
      <c r="Y103" s="25"/>
      <c r="Z103" s="25"/>
      <c r="AA103" s="25"/>
      <c r="AB103" s="25"/>
      <c r="AC103" s="25"/>
      <c r="AD103" s="25"/>
      <c r="AE103" s="25"/>
      <c r="AF103" s="25"/>
      <c r="AG103" s="25"/>
      <c r="AH103" s="12">
        <v>21.838346591164992</v>
      </c>
      <c r="AJ103" s="25"/>
      <c r="AK103" s="25"/>
      <c r="AL103" s="25"/>
      <c r="AM103" s="25"/>
      <c r="AN103" s="25"/>
      <c r="AO103" s="25"/>
      <c r="AP103" s="25"/>
      <c r="AQ103" s="25"/>
      <c r="AR103" s="25"/>
      <c r="AS103" s="12">
        <v>636.4099878415005</v>
      </c>
      <c r="AU103" s="25"/>
      <c r="AV103" s="25"/>
      <c r="AW103" s="25"/>
      <c r="AX103" s="25"/>
      <c r="AY103" s="25"/>
      <c r="AZ103" s="25"/>
      <c r="BA103" s="25"/>
      <c r="BB103" s="25"/>
      <c r="BC103" s="25"/>
      <c r="BD103" s="12">
        <v>77.22231768620651</v>
      </c>
    </row>
    <row r="104" spans="1:55" ht="12.75">
      <c r="A104" s="13">
        <v>9.1</v>
      </c>
      <c r="B104" s="19" t="s">
        <v>995</v>
      </c>
      <c r="C104" s="14">
        <v>636</v>
      </c>
      <c r="D104" s="15">
        <v>0.35333333333333333</v>
      </c>
      <c r="E104" s="14">
        <v>0</v>
      </c>
      <c r="F104" s="14">
        <v>42.95816444444444</v>
      </c>
      <c r="G104" s="14">
        <v>515</v>
      </c>
      <c r="H104" s="14">
        <v>0</v>
      </c>
      <c r="I104" s="14">
        <v>80.7287508546174</v>
      </c>
      <c r="J104" s="14">
        <v>638.6869152990619</v>
      </c>
      <c r="K104" s="22"/>
      <c r="N104" s="14">
        <v>96</v>
      </c>
      <c r="O104" s="15">
        <v>0.05333333333333334</v>
      </c>
      <c r="P104" s="14">
        <v>0</v>
      </c>
      <c r="Q104" s="14">
        <v>6.968853333333333</v>
      </c>
      <c r="R104" s="14">
        <v>0</v>
      </c>
      <c r="S104" s="14">
        <v>0</v>
      </c>
      <c r="T104" s="14">
        <v>0.20906559532701968</v>
      </c>
      <c r="U104" s="14">
        <v>7.177918928660352</v>
      </c>
      <c r="V104" s="16">
        <v>0.011238556414294675</v>
      </c>
      <c r="Y104" s="14">
        <v>108</v>
      </c>
      <c r="Z104" s="15">
        <v>0.06</v>
      </c>
      <c r="AA104" s="14">
        <v>0</v>
      </c>
      <c r="AB104" s="14">
        <v>7.83996</v>
      </c>
      <c r="AC104" s="14">
        <v>0</v>
      </c>
      <c r="AD104" s="14">
        <v>0</v>
      </c>
      <c r="AE104" s="14">
        <v>0.23519879474289715</v>
      </c>
      <c r="AF104" s="14">
        <v>8.075158794742897</v>
      </c>
      <c r="AG104" s="16">
        <v>0.012643375966081512</v>
      </c>
      <c r="AJ104" s="14">
        <v>216</v>
      </c>
      <c r="AK104" s="15">
        <v>0.12</v>
      </c>
      <c r="AL104" s="14">
        <v>0</v>
      </c>
      <c r="AM104" s="14">
        <v>14.690964444444443</v>
      </c>
      <c r="AN104" s="14">
        <v>504.7</v>
      </c>
      <c r="AO104" s="14">
        <v>0</v>
      </c>
      <c r="AP104" s="14">
        <v>77.90864776247807</v>
      </c>
      <c r="AQ104" s="14">
        <v>597.2996122069225</v>
      </c>
      <c r="AR104" s="16">
        <v>0.9351993878365897</v>
      </c>
      <c r="AU104" s="14">
        <v>216</v>
      </c>
      <c r="AV104" s="15">
        <v>0.12</v>
      </c>
      <c r="AW104" s="14">
        <v>0</v>
      </c>
      <c r="AX104" s="14">
        <v>13.458386666666668</v>
      </c>
      <c r="AY104" s="14">
        <v>10.3</v>
      </c>
      <c r="AZ104" s="14">
        <v>0</v>
      </c>
      <c r="BA104" s="14">
        <v>2.375838702069421</v>
      </c>
      <c r="BB104" s="14">
        <v>26.13422536873609</v>
      </c>
      <c r="BC104" s="16">
        <v>0.040918679783034026</v>
      </c>
    </row>
    <row r="105" spans="1:55" ht="12.75">
      <c r="A105" s="13">
        <v>9.2</v>
      </c>
      <c r="B105" s="19" t="s">
        <v>996</v>
      </c>
      <c r="K105" s="22"/>
      <c r="V105" s="22"/>
      <c r="AG105" s="22"/>
      <c r="AR105" s="22"/>
      <c r="BC105" s="22"/>
    </row>
    <row r="106" spans="1:55" ht="12.75">
      <c r="A106" s="26" t="s">
        <v>997</v>
      </c>
      <c r="B106" s="19" t="s">
        <v>998</v>
      </c>
      <c r="C106" s="14">
        <v>520</v>
      </c>
      <c r="D106" s="15">
        <v>0.28888888888888886</v>
      </c>
      <c r="E106" s="14">
        <v>10</v>
      </c>
      <c r="F106" s="14">
        <v>41.855466666666665</v>
      </c>
      <c r="G106" s="14">
        <v>0</v>
      </c>
      <c r="H106" s="14">
        <v>37.7173515625</v>
      </c>
      <c r="I106" s="14">
        <v>7.957281941489406</v>
      </c>
      <c r="J106" s="14">
        <v>87.53010017065608</v>
      </c>
      <c r="K106" s="22"/>
      <c r="N106" s="14">
        <v>50</v>
      </c>
      <c r="O106" s="15">
        <v>0.027777777777777776</v>
      </c>
      <c r="P106" s="14">
        <v>0</v>
      </c>
      <c r="Q106" s="14">
        <v>5.172744444444445</v>
      </c>
      <c r="R106" s="14">
        <v>0</v>
      </c>
      <c r="S106" s="14">
        <v>0</v>
      </c>
      <c r="T106" s="14">
        <v>0.5172744521524344</v>
      </c>
      <c r="U106" s="14">
        <v>5.690018896596879</v>
      </c>
      <c r="V106" s="16">
        <v>0.06500642505267487</v>
      </c>
      <c r="Y106" s="14">
        <v>90</v>
      </c>
      <c r="Z106" s="15">
        <v>0.05</v>
      </c>
      <c r="AA106" s="14">
        <v>0</v>
      </c>
      <c r="AB106" s="14">
        <v>9.097677777777779</v>
      </c>
      <c r="AC106" s="14">
        <v>0</v>
      </c>
      <c r="AD106" s="14">
        <v>0</v>
      </c>
      <c r="AE106" s="14">
        <v>0.9097677913343742</v>
      </c>
      <c r="AF106" s="14">
        <v>10.007445569112154</v>
      </c>
      <c r="AG106" s="16">
        <v>0.11433147625332075</v>
      </c>
      <c r="AJ106" s="14">
        <v>180</v>
      </c>
      <c r="AK106" s="15">
        <v>0.1</v>
      </c>
      <c r="AL106" s="14">
        <v>5</v>
      </c>
      <c r="AM106" s="14">
        <v>13.0666</v>
      </c>
      <c r="AN106" s="14">
        <v>0</v>
      </c>
      <c r="AO106" s="14">
        <v>18.85867578125</v>
      </c>
      <c r="AP106" s="14">
        <v>3.192527625697368</v>
      </c>
      <c r="AQ106" s="14">
        <v>35.11780340694737</v>
      </c>
      <c r="AR106" s="16">
        <v>0.40120830821030395</v>
      </c>
      <c r="AU106" s="14">
        <v>200</v>
      </c>
      <c r="AV106" s="15">
        <v>0.1111111111111111</v>
      </c>
      <c r="AW106" s="14">
        <v>5</v>
      </c>
      <c r="AX106" s="14">
        <v>14.518444444444443</v>
      </c>
      <c r="AY106" s="14">
        <v>0</v>
      </c>
      <c r="AZ106" s="14">
        <v>18.85867578125</v>
      </c>
      <c r="BA106" s="14">
        <v>3.3377120723052296</v>
      </c>
      <c r="BB106" s="14">
        <v>36.71483229799967</v>
      </c>
      <c r="BC106" s="16">
        <v>0.41945379048370024</v>
      </c>
    </row>
    <row r="107" spans="1:55" ht="12.75">
      <c r="A107" s="26" t="s">
        <v>999</v>
      </c>
      <c r="B107" s="19" t="s">
        <v>1000</v>
      </c>
      <c r="C107" s="14">
        <v>290</v>
      </c>
      <c r="D107" s="15">
        <v>0.16111111111111112</v>
      </c>
      <c r="E107" s="14">
        <v>0</v>
      </c>
      <c r="F107" s="14">
        <v>22.072988888888887</v>
      </c>
      <c r="G107" s="14">
        <v>0</v>
      </c>
      <c r="H107" s="14">
        <v>0</v>
      </c>
      <c r="I107" s="14">
        <v>2.2072989217802053</v>
      </c>
      <c r="J107" s="14">
        <v>24.28028781066909</v>
      </c>
      <c r="K107" s="22"/>
      <c r="N107" s="14">
        <v>20</v>
      </c>
      <c r="O107" s="15">
        <v>0.011111111111111112</v>
      </c>
      <c r="P107" s="14">
        <v>0</v>
      </c>
      <c r="Q107" s="14">
        <v>1.9624666666666668</v>
      </c>
      <c r="R107" s="14">
        <v>0</v>
      </c>
      <c r="S107" s="14">
        <v>0</v>
      </c>
      <c r="T107" s="14">
        <v>0.19624666959096987</v>
      </c>
      <c r="U107" s="14">
        <v>2.1587133362576365</v>
      </c>
      <c r="V107" s="16">
        <v>0.08890806209097193</v>
      </c>
      <c r="Y107" s="14">
        <v>40</v>
      </c>
      <c r="Z107" s="15">
        <v>0.022222222222222223</v>
      </c>
      <c r="AA107" s="14">
        <v>0</v>
      </c>
      <c r="AB107" s="14">
        <v>3.414311111111111</v>
      </c>
      <c r="AC107" s="14">
        <v>0</v>
      </c>
      <c r="AD107" s="14">
        <v>0</v>
      </c>
      <c r="AE107" s="14">
        <v>0.34143111619883115</v>
      </c>
      <c r="AF107" s="14">
        <v>3.755742227309942</v>
      </c>
      <c r="AG107" s="16">
        <v>0.15468277215641643</v>
      </c>
      <c r="AJ107" s="14">
        <v>50</v>
      </c>
      <c r="AK107" s="15">
        <v>0.027777777777777776</v>
      </c>
      <c r="AL107" s="14">
        <v>0</v>
      </c>
      <c r="AM107" s="14">
        <v>3.6296111111111107</v>
      </c>
      <c r="AN107" s="14">
        <v>0</v>
      </c>
      <c r="AO107" s="14">
        <v>0</v>
      </c>
      <c r="AP107" s="14">
        <v>0.3629611165196531</v>
      </c>
      <c r="AQ107" s="14">
        <v>3.992572227630764</v>
      </c>
      <c r="AR107" s="16">
        <v>0.16443677516361124</v>
      </c>
      <c r="AU107" s="14">
        <v>180</v>
      </c>
      <c r="AV107" s="15">
        <v>0.1</v>
      </c>
      <c r="AW107" s="14">
        <v>0</v>
      </c>
      <c r="AX107" s="14">
        <v>13.0666</v>
      </c>
      <c r="AY107" s="14">
        <v>0</v>
      </c>
      <c r="AZ107" s="14">
        <v>0</v>
      </c>
      <c r="BA107" s="14">
        <v>1.3066600194707512</v>
      </c>
      <c r="BB107" s="14">
        <v>14.37326001947075</v>
      </c>
      <c r="BC107" s="16">
        <v>0.5919723905890005</v>
      </c>
    </row>
    <row r="108" spans="1:56" ht="12.75">
      <c r="A108" s="27"/>
      <c r="B108" s="28" t="s">
        <v>837</v>
      </c>
      <c r="C108" s="20">
        <v>231944.49996948242</v>
      </c>
      <c r="D108" s="20">
        <v>128.85805553860138</v>
      </c>
      <c r="E108" s="20">
        <v>549</v>
      </c>
      <c r="F108" s="20">
        <v>16044.976910830925</v>
      </c>
      <c r="G108" s="20">
        <v>16803.963489999995</v>
      </c>
      <c r="H108" s="20">
        <v>1681.293841796875</v>
      </c>
      <c r="I108" s="20">
        <v>7696.540853600122</v>
      </c>
      <c r="J108" s="20">
        <v>42226.775096227924</v>
      </c>
      <c r="K108" s="29">
        <v>1</v>
      </c>
      <c r="L108" s="12">
        <v>42226.775096227924</v>
      </c>
      <c r="N108" s="20">
        <v>34375.100006103516</v>
      </c>
      <c r="O108" s="20">
        <v>19.09727778116863</v>
      </c>
      <c r="P108" s="20">
        <v>95</v>
      </c>
      <c r="Q108" s="20">
        <v>2581.557151265564</v>
      </c>
      <c r="R108" s="20">
        <v>216.19899999999998</v>
      </c>
      <c r="S108" s="20">
        <v>223.7109685058594</v>
      </c>
      <c r="T108" s="20">
        <v>457.57495708176396</v>
      </c>
      <c r="U108" s="20">
        <v>3479.042076853188</v>
      </c>
      <c r="V108" s="16">
        <v>0.08238948081933843</v>
      </c>
      <c r="W108" s="12">
        <v>3479.042076853188</v>
      </c>
      <c r="Y108" s="20">
        <v>75528.8999633789</v>
      </c>
      <c r="Z108" s="20">
        <v>41.960499979654976</v>
      </c>
      <c r="AA108" s="20">
        <v>136</v>
      </c>
      <c r="AB108" s="20">
        <v>5515.927220120916</v>
      </c>
      <c r="AC108" s="20">
        <v>1827.249</v>
      </c>
      <c r="AD108" s="20">
        <v>354.224421875</v>
      </c>
      <c r="AE108" s="20">
        <v>1402.6897561623814</v>
      </c>
      <c r="AF108" s="20">
        <v>9100.0903981583</v>
      </c>
      <c r="AG108" s="16">
        <v>0.21550521860645716</v>
      </c>
      <c r="AH108" s="12">
        <v>9100.0903981583</v>
      </c>
      <c r="AJ108" s="20">
        <v>88076.5</v>
      </c>
      <c r="AK108" s="20">
        <v>48.931388888888904</v>
      </c>
      <c r="AL108" s="20">
        <v>195</v>
      </c>
      <c r="AM108" s="20">
        <v>5660.918846666669</v>
      </c>
      <c r="AN108" s="20">
        <v>14510.134489999997</v>
      </c>
      <c r="AO108" s="20">
        <v>625.5955270996093</v>
      </c>
      <c r="AP108" s="20">
        <v>5234.36280434702</v>
      </c>
      <c r="AQ108" s="20">
        <v>26031.011668113308</v>
      </c>
      <c r="AR108" s="16">
        <v>0.6164574871936794</v>
      </c>
      <c r="AS108" s="12">
        <v>26031.011668113293</v>
      </c>
      <c r="AU108" s="20">
        <v>34174</v>
      </c>
      <c r="AV108" s="20">
        <v>18.985555555555557</v>
      </c>
      <c r="AW108" s="20">
        <v>123</v>
      </c>
      <c r="AX108" s="20">
        <v>2286.573692777778</v>
      </c>
      <c r="AY108" s="20">
        <v>250.38100000000003</v>
      </c>
      <c r="AZ108" s="20">
        <v>477.76292431640616</v>
      </c>
      <c r="BA108" s="20">
        <v>601.9133360089592</v>
      </c>
      <c r="BB108" s="20">
        <v>3616.6309531031434</v>
      </c>
      <c r="BC108" s="16">
        <v>0.08564781338052532</v>
      </c>
      <c r="BD108" s="12">
        <v>3616.6309531031434</v>
      </c>
    </row>
  </sheetData>
  <mergeCells count="25">
    <mergeCell ref="C1:L1"/>
    <mergeCell ref="N2:O2"/>
    <mergeCell ref="P2:P3"/>
    <mergeCell ref="Q2:U2"/>
    <mergeCell ref="N1:W1"/>
    <mergeCell ref="V2:V3"/>
    <mergeCell ref="C2:D2"/>
    <mergeCell ref="E2:E3"/>
    <mergeCell ref="F2:J2"/>
    <mergeCell ref="K2:K3"/>
    <mergeCell ref="AB2:AF2"/>
    <mergeCell ref="AG2:AG3"/>
    <mergeCell ref="Y1:AH1"/>
    <mergeCell ref="AJ1:AS1"/>
    <mergeCell ref="AJ2:AK2"/>
    <mergeCell ref="AL2:AL3"/>
    <mergeCell ref="AM2:AQ2"/>
    <mergeCell ref="AR2:AR3"/>
    <mergeCell ref="AA2:AA3"/>
    <mergeCell ref="Y2:Z2"/>
    <mergeCell ref="AU1:BD1"/>
    <mergeCell ref="AU2:AV2"/>
    <mergeCell ref="AW2:AW3"/>
    <mergeCell ref="AX2:BB2"/>
    <mergeCell ref="BC2:BC3"/>
  </mergeCells>
  <printOptions/>
  <pageMargins left="0.45" right="0.17" top="0.54" bottom="0.3" header="0.35"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52"/>
  <sheetViews>
    <sheetView workbookViewId="0" topLeftCell="A1">
      <selection activeCell="A28" sqref="A28"/>
    </sheetView>
  </sheetViews>
  <sheetFormatPr defaultColWidth="9.140625" defaultRowHeight="12.75"/>
  <cols>
    <col min="1" max="1" width="37.140625" style="0" customWidth="1"/>
    <col min="2" max="2" width="11.7109375" style="0" customWidth="1"/>
    <col min="3" max="3" width="6.57421875" style="0" customWidth="1"/>
    <col min="4" max="4" width="12.421875" style="0" customWidth="1"/>
    <col min="5" max="5" width="6.57421875" style="0" customWidth="1"/>
    <col min="6" max="6" width="12.421875" style="0" customWidth="1"/>
    <col min="7" max="7" width="6.57421875" style="0" customWidth="1"/>
    <col min="8" max="8" width="12.421875" style="0" customWidth="1"/>
    <col min="9" max="9" width="6.57421875" style="0" customWidth="1"/>
    <col min="10" max="10" width="12.421875" style="0" customWidth="1"/>
    <col min="11" max="11" width="6.57421875" style="0" customWidth="1"/>
    <col min="12" max="12" width="12.421875" style="0" customWidth="1"/>
    <col min="13" max="13" width="6.57421875" style="0" customWidth="1"/>
    <col min="14" max="14" width="12.421875" style="0" customWidth="1"/>
    <col min="15" max="15" width="5.28125" style="0" customWidth="1"/>
    <col min="16" max="16" width="7.140625" style="0" customWidth="1"/>
    <col min="17" max="17" width="12.28125" style="0" customWidth="1"/>
  </cols>
  <sheetData>
    <row r="1" spans="2:4" ht="12.75">
      <c r="B1" t="s">
        <v>528</v>
      </c>
      <c r="C1">
        <v>1824</v>
      </c>
      <c r="D1" t="s">
        <v>522</v>
      </c>
    </row>
    <row r="2" spans="2:4" ht="12.75">
      <c r="B2" t="s">
        <v>530</v>
      </c>
      <c r="C2" s="116">
        <v>0.035</v>
      </c>
      <c r="D2" t="s">
        <v>531</v>
      </c>
    </row>
    <row r="3" spans="3:12" ht="12.75">
      <c r="C3" s="76">
        <v>2</v>
      </c>
      <c r="D3" s="82"/>
      <c r="E3" s="76">
        <v>3</v>
      </c>
      <c r="F3" s="82"/>
      <c r="G3" s="76">
        <v>4</v>
      </c>
      <c r="H3" s="82"/>
      <c r="I3" s="76">
        <v>5</v>
      </c>
      <c r="J3" s="82"/>
      <c r="K3" s="76">
        <v>6</v>
      </c>
      <c r="L3" s="82"/>
    </row>
    <row r="4" spans="3:16" ht="12.75">
      <c r="C4" s="76" t="s">
        <v>510</v>
      </c>
      <c r="D4" s="82"/>
      <c r="E4" s="76" t="s">
        <v>514</v>
      </c>
      <c r="F4" s="82"/>
      <c r="G4" s="76" t="s">
        <v>515</v>
      </c>
      <c r="H4" s="82"/>
      <c r="I4" s="76" t="s">
        <v>516</v>
      </c>
      <c r="J4" s="82"/>
      <c r="K4" s="76" t="s">
        <v>517</v>
      </c>
      <c r="L4" s="82"/>
      <c r="O4" s="76"/>
      <c r="P4" s="35"/>
    </row>
    <row r="5" spans="1:16" ht="12.75">
      <c r="A5" s="65" t="s">
        <v>511</v>
      </c>
      <c r="C5" s="84" t="s">
        <v>512</v>
      </c>
      <c r="D5" s="85"/>
      <c r="E5" s="86" t="s">
        <v>513</v>
      </c>
      <c r="F5" s="87"/>
      <c r="G5" s="88" t="s">
        <v>518</v>
      </c>
      <c r="H5" s="89"/>
      <c r="I5" s="88"/>
      <c r="J5" s="89"/>
      <c r="K5" s="88"/>
      <c r="L5" s="89"/>
      <c r="O5" s="76"/>
      <c r="P5" s="35"/>
    </row>
    <row r="6" spans="3:16" ht="12.75">
      <c r="C6" s="76"/>
      <c r="D6" s="82"/>
      <c r="E6" s="76"/>
      <c r="F6" s="82"/>
      <c r="G6" s="76"/>
      <c r="H6" s="82"/>
      <c r="I6" s="76"/>
      <c r="J6" s="82"/>
      <c r="K6" s="76"/>
      <c r="L6" s="82"/>
      <c r="M6" s="83" t="s">
        <v>532</v>
      </c>
      <c r="N6" s="82"/>
      <c r="O6" s="76"/>
      <c r="P6" s="35"/>
    </row>
    <row r="7" spans="1:16" ht="12.75">
      <c r="A7" s="68" t="s">
        <v>501</v>
      </c>
      <c r="B7" s="75" t="s">
        <v>500</v>
      </c>
      <c r="C7" s="73" t="s">
        <v>502</v>
      </c>
      <c r="D7" s="67" t="s">
        <v>503</v>
      </c>
      <c r="E7" s="73" t="s">
        <v>502</v>
      </c>
      <c r="F7" s="67" t="s">
        <v>503</v>
      </c>
      <c r="G7" s="73" t="s">
        <v>502</v>
      </c>
      <c r="H7" s="67" t="s">
        <v>503</v>
      </c>
      <c r="I7" s="73" t="s">
        <v>502</v>
      </c>
      <c r="J7" s="67" t="s">
        <v>503</v>
      </c>
      <c r="K7" s="73" t="s">
        <v>502</v>
      </c>
      <c r="L7" s="67" t="s">
        <v>503</v>
      </c>
      <c r="M7" s="73" t="s">
        <v>502</v>
      </c>
      <c r="N7" s="67" t="s">
        <v>503</v>
      </c>
      <c r="O7" s="76"/>
      <c r="P7" s="35" t="s">
        <v>529</v>
      </c>
    </row>
    <row r="8" spans="1:16" ht="12.75">
      <c r="A8" t="s">
        <v>843</v>
      </c>
      <c r="B8" s="76"/>
      <c r="C8" s="74"/>
      <c r="D8" s="66"/>
      <c r="E8" s="74"/>
      <c r="F8" s="66"/>
      <c r="G8" s="74"/>
      <c r="H8" s="66"/>
      <c r="I8" s="74"/>
      <c r="J8" s="66"/>
      <c r="K8" s="74"/>
      <c r="L8" s="66"/>
      <c r="M8" s="74"/>
      <c r="N8" s="66"/>
      <c r="O8" s="76"/>
      <c r="P8" s="35"/>
    </row>
    <row r="9" spans="1:16" ht="12.75">
      <c r="A9" t="s">
        <v>493</v>
      </c>
      <c r="B9" s="77" t="s">
        <v>505</v>
      </c>
      <c r="C9" s="74">
        <f>$C$1*0.5</f>
        <v>912</v>
      </c>
      <c r="D9" s="66">
        <f>C9*$P9*(1+$C$2)^C$3</f>
        <v>58617.43199999999</v>
      </c>
      <c r="E9" s="74">
        <f>$C$1*0.5</f>
        <v>912</v>
      </c>
      <c r="F9" s="66">
        <f>E9*$P9*(1+$C$2)^E$3</f>
        <v>60669.042119999984</v>
      </c>
      <c r="G9" s="74">
        <f>$C$1*0.5</f>
        <v>912</v>
      </c>
      <c r="H9" s="66">
        <f>G9*$P9*(1+$C$2)^G$3</f>
        <v>62792.45859419998</v>
      </c>
      <c r="I9" s="74"/>
      <c r="J9" s="66">
        <f>I9*$P9*(1+$C$2)^I$3</f>
        <v>0</v>
      </c>
      <c r="K9" s="74"/>
      <c r="L9" s="66">
        <f>K9*$P9*(1+$C$2)^K$3</f>
        <v>0</v>
      </c>
      <c r="M9" s="74">
        <f>C9+E9+G9+I9+K9</f>
        <v>2736</v>
      </c>
      <c r="N9" s="66">
        <f>D9+F9+H9+J9+L9</f>
        <v>182078.93271419994</v>
      </c>
      <c r="O9" s="76"/>
      <c r="P9" s="81">
        <v>60</v>
      </c>
    </row>
    <row r="10" spans="1:16" ht="12.75">
      <c r="A10" t="s">
        <v>492</v>
      </c>
      <c r="B10" s="77" t="s">
        <v>505</v>
      </c>
      <c r="C10" s="74">
        <f>$C$1*1.5</f>
        <v>2736</v>
      </c>
      <c r="D10" s="66">
        <f>C10*$P10*(1+$C$2)^C$3</f>
        <v>175852.29599999997</v>
      </c>
      <c r="E10" s="74">
        <f>$C$1*1.5</f>
        <v>2736</v>
      </c>
      <c r="F10" s="66">
        <f>E10*$P10*(1+$C$2)^E$3</f>
        <v>182007.12635999997</v>
      </c>
      <c r="G10" s="74">
        <f>$C$1*0.5</f>
        <v>912</v>
      </c>
      <c r="H10" s="66">
        <f>G10*$P10*(1+$C$2)^G$3</f>
        <v>62792.45859419998</v>
      </c>
      <c r="I10" s="74">
        <f>$C$1*0.5</f>
        <v>912</v>
      </c>
      <c r="J10" s="66">
        <f>I10*$P10*(1+$C$2)^I$3</f>
        <v>64990.19464499697</v>
      </c>
      <c r="K10" s="74">
        <f>$C$1*0.5*0.25</f>
        <v>228</v>
      </c>
      <c r="L10" s="66">
        <f>K10*$P10*(1+$C$2)^K$3</f>
        <v>16816.21286439297</v>
      </c>
      <c r="M10" s="74">
        <f aca="true" t="shared" si="0" ref="M10:N13">C10+E10+G10+I10+K10</f>
        <v>7524</v>
      </c>
      <c r="N10" s="66">
        <f t="shared" si="0"/>
        <v>502458.28846358985</v>
      </c>
      <c r="O10" s="76"/>
      <c r="P10" s="81">
        <v>60</v>
      </c>
    </row>
    <row r="11" spans="1:16" ht="12.75">
      <c r="A11" t="s">
        <v>494</v>
      </c>
      <c r="B11" s="77" t="s">
        <v>505</v>
      </c>
      <c r="C11" s="74">
        <f>$C$1*0.2</f>
        <v>364.8</v>
      </c>
      <c r="D11" s="66">
        <f>C11*$P11*(1+$C$2)^C$3</f>
        <v>23446.972799999996</v>
      </c>
      <c r="E11" s="74">
        <f>$C$1*0.2</f>
        <v>364.8</v>
      </c>
      <c r="F11" s="66">
        <f>E11*$P11*(1+$C$2)^E$3</f>
        <v>24267.616847999994</v>
      </c>
      <c r="G11" s="74">
        <f>$C$1*0.5</f>
        <v>912</v>
      </c>
      <c r="H11" s="66">
        <f>G11*$P11*(1+$C$2)^G$3</f>
        <v>62792.45859419998</v>
      </c>
      <c r="I11" s="74">
        <f>$C$1*0.5</f>
        <v>912</v>
      </c>
      <c r="J11" s="66">
        <f>I11*$P11*(1+$C$2)^I$3</f>
        <v>64990.19464499697</v>
      </c>
      <c r="K11" s="74">
        <f>$C$1*0.5*0.25</f>
        <v>228</v>
      </c>
      <c r="L11" s="66">
        <f>K11*$P11*(1+$C$2)^K$3</f>
        <v>16816.21286439297</v>
      </c>
      <c r="M11" s="74">
        <f t="shared" si="0"/>
        <v>2781.6</v>
      </c>
      <c r="N11" s="66">
        <f t="shared" si="0"/>
        <v>192313.4557515899</v>
      </c>
      <c r="O11" s="76"/>
      <c r="P11" s="81">
        <v>60</v>
      </c>
    </row>
    <row r="12" spans="1:16" ht="12.75">
      <c r="A12" t="s">
        <v>495</v>
      </c>
      <c r="B12" s="77" t="s">
        <v>505</v>
      </c>
      <c r="C12" s="74">
        <f>$C$1*0.2</f>
        <v>364.8</v>
      </c>
      <c r="D12" s="66">
        <f>C12*$P12*(1+$C$2)^C$3</f>
        <v>23446.972799999996</v>
      </c>
      <c r="E12" s="74">
        <f>$C$1*0.2</f>
        <v>364.8</v>
      </c>
      <c r="F12" s="66">
        <f>E12*$P12*(1+$C$2)^E$3</f>
        <v>24267.616847999994</v>
      </c>
      <c r="G12" s="74">
        <f>$C$1*0.5</f>
        <v>912</v>
      </c>
      <c r="H12" s="66">
        <f>G12*$P12*(1+$C$2)^G$3</f>
        <v>62792.45859419998</v>
      </c>
      <c r="I12" s="74">
        <f>$C$1*0.5</f>
        <v>912</v>
      </c>
      <c r="J12" s="66">
        <f>I12*$P12*(1+$C$2)^I$3</f>
        <v>64990.19464499697</v>
      </c>
      <c r="K12" s="74">
        <f>$C$1*0.5*0.25</f>
        <v>228</v>
      </c>
      <c r="L12" s="66">
        <f>K12*$P12*(1+$C$2)^K$3</f>
        <v>16816.21286439297</v>
      </c>
      <c r="M12" s="74">
        <f t="shared" si="0"/>
        <v>2781.6</v>
      </c>
      <c r="N12" s="66">
        <f t="shared" si="0"/>
        <v>192313.4557515899</v>
      </c>
      <c r="O12" s="76"/>
      <c r="P12" s="81">
        <v>60</v>
      </c>
    </row>
    <row r="13" spans="1:16" ht="12.75">
      <c r="A13" t="s">
        <v>523</v>
      </c>
      <c r="B13" s="77">
        <v>3</v>
      </c>
      <c r="C13" s="74">
        <f>$C$1*0.2</f>
        <v>364.8</v>
      </c>
      <c r="D13" s="66">
        <f>C13*$P13*(1+$C$2)^C$3</f>
        <v>22274.62416</v>
      </c>
      <c r="E13" s="74">
        <f>$C$1*0.2</f>
        <v>364.8</v>
      </c>
      <c r="F13" s="66">
        <f>E13*$P13*(1+$C$2)^E$3</f>
        <v>23054.236005599996</v>
      </c>
      <c r="G13" s="74">
        <f>$C$1*0.2</f>
        <v>364.8</v>
      </c>
      <c r="H13" s="66">
        <f>G13*$P13*(1+$C$2)^G$3</f>
        <v>23861.134265795998</v>
      </c>
      <c r="I13" s="74">
        <f>$C$1*0.2</f>
        <v>364.8</v>
      </c>
      <c r="J13" s="66">
        <f>I13*$P13*(1+$C$2)^I$3</f>
        <v>24696.27396509885</v>
      </c>
      <c r="K13" s="74">
        <f>$C$1*0.2*0.25</f>
        <v>91.2</v>
      </c>
      <c r="L13" s="66">
        <f>K13*$P13*(1+$C$2)^K$3</f>
        <v>6390.160888469329</v>
      </c>
      <c r="M13" s="74">
        <f t="shared" si="0"/>
        <v>1550.4</v>
      </c>
      <c r="N13" s="66">
        <f t="shared" si="0"/>
        <v>100276.42928496416</v>
      </c>
      <c r="O13" s="76"/>
      <c r="P13" s="81">
        <v>57</v>
      </c>
    </row>
    <row r="14" spans="1:16" ht="12.75">
      <c r="A14" t="s">
        <v>496</v>
      </c>
      <c r="B14" s="77"/>
      <c r="C14" s="74"/>
      <c r="D14" s="66"/>
      <c r="E14" s="74"/>
      <c r="F14" s="66"/>
      <c r="G14" s="74"/>
      <c r="H14" s="66"/>
      <c r="I14" s="74"/>
      <c r="J14" s="66"/>
      <c r="K14" s="74"/>
      <c r="L14" s="66"/>
      <c r="M14" s="74"/>
      <c r="N14" s="66"/>
      <c r="O14" s="76"/>
      <c r="P14" s="81"/>
    </row>
    <row r="15" spans="1:16" ht="12.75">
      <c r="A15" t="s">
        <v>842</v>
      </c>
      <c r="B15" s="77">
        <v>4</v>
      </c>
      <c r="C15" s="74">
        <f>$C$1*0.25</f>
        <v>456</v>
      </c>
      <c r="D15" s="66">
        <f>C15*$P15*(1+$C$2)^C$3</f>
        <v>31751.108999999997</v>
      </c>
      <c r="E15" s="74">
        <f>$C$1*0.25</f>
        <v>456</v>
      </c>
      <c r="F15" s="66">
        <f>E15*$P15*(1+$C$2)^E$3</f>
        <v>32862.39781499999</v>
      </c>
      <c r="G15" s="74">
        <f>$C$1*0.25</f>
        <v>456</v>
      </c>
      <c r="H15" s="66">
        <f>G15*$P15*(1+$C$2)^G$3</f>
        <v>34012.58173852499</v>
      </c>
      <c r="I15" s="74">
        <f>$C$1*0.25</f>
        <v>456</v>
      </c>
      <c r="J15" s="66">
        <f>I15*$P15*(1+$C$2)^I$3</f>
        <v>35203.02209937336</v>
      </c>
      <c r="K15" s="74">
        <f>$C$1*0.25*0.25</f>
        <v>114</v>
      </c>
      <c r="L15" s="66">
        <f>K15*$P15*(1+$C$2)^K$3</f>
        <v>9108.781968212857</v>
      </c>
      <c r="M15" s="74">
        <f>C15+E15+G15+I15+K15</f>
        <v>1938</v>
      </c>
      <c r="N15" s="66">
        <f>D15+F15+H15+J15+L15</f>
        <v>142937.8926211112</v>
      </c>
      <c r="O15" s="76"/>
      <c r="P15" s="81">
        <v>65</v>
      </c>
    </row>
    <row r="16" spans="1:16" ht="12.75">
      <c r="A16" s="67" t="s">
        <v>507</v>
      </c>
      <c r="B16" s="78">
        <v>5</v>
      </c>
      <c r="C16" s="73"/>
      <c r="D16" s="69">
        <f>C16*$P16*(1+$C$2)^C$3</f>
        <v>0</v>
      </c>
      <c r="E16" s="73"/>
      <c r="F16" s="69">
        <f>E16*$P16*(1+$C$2)^E$3</f>
        <v>0</v>
      </c>
      <c r="G16" s="73">
        <f>$C$1*1.5</f>
        <v>2736</v>
      </c>
      <c r="H16" s="69">
        <f>G16*$P16*(1+$C$2)^G$3</f>
        <v>109886.80253984997</v>
      </c>
      <c r="I16" s="73">
        <f>$C$1*1.5</f>
        <v>2736</v>
      </c>
      <c r="J16" s="69">
        <f>I16*$P16*(1+$C$2)^I$3</f>
        <v>113732.8406287447</v>
      </c>
      <c r="K16" s="73">
        <f>$C$1*2*0.25</f>
        <v>912</v>
      </c>
      <c r="L16" s="69">
        <f>K16*$P16*(1+$C$2)^K$3</f>
        <v>39237.83001691692</v>
      </c>
      <c r="M16" s="73">
        <f>C16+E16+G16+I16+K16</f>
        <v>6384</v>
      </c>
      <c r="N16" s="69">
        <f>D16+F16+H16+J16+L16</f>
        <v>262857.4731855116</v>
      </c>
      <c r="O16" s="76"/>
      <c r="P16" s="81">
        <v>35</v>
      </c>
    </row>
    <row r="17" spans="1:16" ht="12.75">
      <c r="A17" s="65" t="s">
        <v>519</v>
      </c>
      <c r="B17" s="77"/>
      <c r="C17" s="74"/>
      <c r="D17" s="66">
        <f>SUM(D9:D16)</f>
        <v>335389.40676</v>
      </c>
      <c r="E17" s="74"/>
      <c r="F17" s="66">
        <f>SUM(F9:F16)</f>
        <v>347128.0359965999</v>
      </c>
      <c r="G17" s="74"/>
      <c r="H17" s="66">
        <f>SUM(H9:H16)</f>
        <v>418930.3529209709</v>
      </c>
      <c r="I17" s="74"/>
      <c r="J17" s="66">
        <f>SUM(J9:J16)</f>
        <v>368602.72062820784</v>
      </c>
      <c r="K17" s="74"/>
      <c r="L17" s="66">
        <f>SUM(L9:L16)</f>
        <v>105185.41146677801</v>
      </c>
      <c r="M17" s="74"/>
      <c r="N17" s="66">
        <f>SUM(N9:N16)</f>
        <v>1575235.9277725567</v>
      </c>
      <c r="O17" s="76"/>
      <c r="P17" s="35"/>
    </row>
    <row r="18" spans="1:16" ht="12.75">
      <c r="A18" t="s">
        <v>508</v>
      </c>
      <c r="B18" s="77">
        <v>6</v>
      </c>
      <c r="C18" s="74"/>
      <c r="D18" s="66">
        <f>D17*0.3</f>
        <v>100616.822028</v>
      </c>
      <c r="E18" s="74"/>
      <c r="F18" s="66">
        <f>F17*0.3</f>
        <v>104138.41079897997</v>
      </c>
      <c r="G18" s="74"/>
      <c r="H18" s="66">
        <f>H17*0.3</f>
        <v>125679.10587629126</v>
      </c>
      <c r="I18" s="74"/>
      <c r="J18" s="66">
        <f>J17*0.3</f>
        <v>110580.81618846236</v>
      </c>
      <c r="K18" s="74"/>
      <c r="L18" s="66">
        <f>L17*0.3</f>
        <v>31555.6234400334</v>
      </c>
      <c r="M18" s="74"/>
      <c r="N18" s="66">
        <f>N17*0.3</f>
        <v>472570.77833176695</v>
      </c>
      <c r="O18" s="76"/>
      <c r="P18" s="35"/>
    </row>
    <row r="19" spans="1:16" ht="12.75">
      <c r="A19" s="70" t="s">
        <v>520</v>
      </c>
      <c r="B19" s="79"/>
      <c r="C19" s="80"/>
      <c r="D19" s="72">
        <f>D17+D18</f>
        <v>436006.22878799995</v>
      </c>
      <c r="E19" s="80"/>
      <c r="F19" s="72">
        <f>F17+F18</f>
        <v>451266.44679557986</v>
      </c>
      <c r="G19" s="80"/>
      <c r="H19" s="72">
        <f>H17+H18</f>
        <v>544609.4587972622</v>
      </c>
      <c r="I19" s="80"/>
      <c r="J19" s="72">
        <f>J17+J18</f>
        <v>479183.5368166702</v>
      </c>
      <c r="K19" s="80"/>
      <c r="L19" s="72">
        <f>L17+L18</f>
        <v>136741.0349068114</v>
      </c>
      <c r="M19" s="80"/>
      <c r="N19" s="72">
        <f>N17+N18</f>
        <v>2047806.7061043237</v>
      </c>
      <c r="O19" s="76"/>
      <c r="P19" s="35"/>
    </row>
    <row r="20" spans="1:16" ht="12.75">
      <c r="A20" t="s">
        <v>497</v>
      </c>
      <c r="B20" s="77"/>
      <c r="C20" s="74"/>
      <c r="D20" s="66"/>
      <c r="E20" s="74"/>
      <c r="F20" s="66"/>
      <c r="G20" s="74"/>
      <c r="H20" s="66"/>
      <c r="I20" s="74"/>
      <c r="J20" s="66"/>
      <c r="K20" s="74"/>
      <c r="L20" s="66"/>
      <c r="M20" s="74"/>
      <c r="N20" s="66"/>
      <c r="O20" s="76"/>
      <c r="P20" s="35"/>
    </row>
    <row r="21" spans="1:16" ht="12.75">
      <c r="A21" t="s">
        <v>498</v>
      </c>
      <c r="B21" s="77"/>
      <c r="C21" s="74"/>
      <c r="D21" s="66"/>
      <c r="E21" s="74"/>
      <c r="F21" s="66">
        <f>B39</f>
        <v>600000</v>
      </c>
      <c r="G21" s="74"/>
      <c r="H21" s="66">
        <f>($B$52-$B$39)/2</f>
        <v>431250</v>
      </c>
      <c r="I21" s="74"/>
      <c r="J21" s="66">
        <f>($B$52-$B$39)/2</f>
        <v>431250</v>
      </c>
      <c r="K21" s="74"/>
      <c r="L21" s="66"/>
      <c r="M21" s="74"/>
      <c r="N21" s="66">
        <f>D21+F21+H21+J21+L21</f>
        <v>1462500</v>
      </c>
      <c r="O21" s="76"/>
      <c r="P21" s="35"/>
    </row>
    <row r="22" spans="1:16" ht="12.75">
      <c r="A22" t="s">
        <v>499</v>
      </c>
      <c r="B22" s="77"/>
      <c r="C22" s="74"/>
      <c r="D22" s="66">
        <v>10000</v>
      </c>
      <c r="E22" s="74"/>
      <c r="F22" s="66">
        <f>$D22*(1+$C$2)^C$3</f>
        <v>10712.249999999998</v>
      </c>
      <c r="G22" s="74"/>
      <c r="H22" s="66">
        <f>$D22*(1+$C$2)^E$3</f>
        <v>11087.178749999997</v>
      </c>
      <c r="I22" s="74"/>
      <c r="J22" s="66">
        <f>$D22*(1+$C$2)^G$3</f>
        <v>11475.230006249996</v>
      </c>
      <c r="K22" s="74"/>
      <c r="L22" s="66">
        <f>($D22*(1+$C$2)^I$3)*0.25</f>
        <v>2969.215764117186</v>
      </c>
      <c r="M22" s="74"/>
      <c r="N22" s="66">
        <f>D22+F22+H22+J22+L22</f>
        <v>46243.87452036718</v>
      </c>
      <c r="O22" s="76"/>
      <c r="P22" s="35"/>
    </row>
    <row r="23" spans="1:16" ht="12.75">
      <c r="A23" t="s">
        <v>848</v>
      </c>
      <c r="B23" s="77"/>
      <c r="C23" s="74"/>
      <c r="D23" s="66">
        <v>20000</v>
      </c>
      <c r="E23" s="74"/>
      <c r="F23" s="66">
        <f>$D23*(1+$C$2)^C$3</f>
        <v>21424.499999999996</v>
      </c>
      <c r="G23" s="74"/>
      <c r="H23" s="66">
        <f>$D23*(1+$C$2)^E$3</f>
        <v>22174.357499999995</v>
      </c>
      <c r="I23" s="74"/>
      <c r="J23" s="66">
        <f>$D23*(1+$C$2)^G$3</f>
        <v>22950.460012499992</v>
      </c>
      <c r="K23" s="74"/>
      <c r="L23" s="66">
        <f>($D23*(1+$C$2)^I$3)*0.5</f>
        <v>11876.863056468745</v>
      </c>
      <c r="M23" s="74"/>
      <c r="N23" s="66">
        <f>D23+F23+H23+J23+L23</f>
        <v>98426.18056896873</v>
      </c>
      <c r="O23" s="76"/>
      <c r="P23" s="35"/>
    </row>
    <row r="24" spans="1:16" ht="12.75">
      <c r="A24" s="70" t="s">
        <v>509</v>
      </c>
      <c r="B24" s="79"/>
      <c r="C24" s="80"/>
      <c r="D24" s="72">
        <f>SUM(D21:D23)</f>
        <v>30000</v>
      </c>
      <c r="E24" s="80"/>
      <c r="F24" s="72">
        <f>SUM(F21:F23)</f>
        <v>632136.75</v>
      </c>
      <c r="G24" s="80"/>
      <c r="H24" s="72">
        <f>SUM(H21:H23)</f>
        <v>464511.53625</v>
      </c>
      <c r="I24" s="80"/>
      <c r="J24" s="72">
        <f>SUM(J21:J23)</f>
        <v>465675.69001874997</v>
      </c>
      <c r="K24" s="80"/>
      <c r="L24" s="72">
        <f>SUM(L21:L23)</f>
        <v>14846.078820585932</v>
      </c>
      <c r="M24" s="80"/>
      <c r="N24" s="72">
        <f>SUM(N21:N23)</f>
        <v>1607170.055089336</v>
      </c>
      <c r="O24" s="76"/>
      <c r="P24" s="35"/>
    </row>
    <row r="25" spans="1:16" ht="12.75">
      <c r="A25" s="65" t="s">
        <v>506</v>
      </c>
      <c r="B25" s="77"/>
      <c r="C25" s="74"/>
      <c r="D25" s="66">
        <f>D19+D24</f>
        <v>466006.22878799995</v>
      </c>
      <c r="E25" s="74"/>
      <c r="F25" s="66">
        <f>F19+F24</f>
        <v>1083403.19679558</v>
      </c>
      <c r="G25" s="74"/>
      <c r="H25" s="66">
        <f>H19+H24</f>
        <v>1009120.9950472622</v>
      </c>
      <c r="I25" s="74"/>
      <c r="J25" s="66">
        <f>J19+J24</f>
        <v>944859.2268354201</v>
      </c>
      <c r="K25" s="74"/>
      <c r="L25" s="66">
        <f>L19+L24</f>
        <v>151587.11372739734</v>
      </c>
      <c r="M25" s="74"/>
      <c r="N25" s="66">
        <f>N19+N24</f>
        <v>3654976.7611936596</v>
      </c>
      <c r="O25" s="76"/>
      <c r="P25" s="35"/>
    </row>
    <row r="27" ht="12.75">
      <c r="A27" t="s">
        <v>504</v>
      </c>
    </row>
    <row r="28" ht="12.75">
      <c r="A28" t="s">
        <v>172</v>
      </c>
    </row>
    <row r="29" ht="12.75">
      <c r="A29" t="s">
        <v>524</v>
      </c>
    </row>
    <row r="30" ht="12.75">
      <c r="A30" t="s">
        <v>525</v>
      </c>
    </row>
    <row r="31" ht="12.75">
      <c r="A31" t="s">
        <v>526</v>
      </c>
    </row>
    <row r="32" ht="12.75">
      <c r="A32" t="s">
        <v>527</v>
      </c>
    </row>
    <row r="33" ht="12.75">
      <c r="A33" t="s">
        <v>548</v>
      </c>
    </row>
    <row r="36" ht="12.75">
      <c r="A36" t="s">
        <v>521</v>
      </c>
    </row>
    <row r="37" ht="12.75">
      <c r="A37" t="s">
        <v>533</v>
      </c>
    </row>
    <row r="38" spans="1:2" ht="12.75">
      <c r="A38" t="s">
        <v>535</v>
      </c>
      <c r="B38" s="66">
        <v>200000</v>
      </c>
    </row>
    <row r="39" spans="1:2" ht="12.75">
      <c r="A39" t="s">
        <v>534</v>
      </c>
      <c r="B39" s="66">
        <v>600000</v>
      </c>
    </row>
    <row r="40" spans="1:2" ht="12.75">
      <c r="A40" t="s">
        <v>536</v>
      </c>
      <c r="B40" s="66">
        <v>40000</v>
      </c>
    </row>
    <row r="41" spans="1:2" ht="12.75">
      <c r="A41" t="s">
        <v>537</v>
      </c>
      <c r="B41" s="66">
        <v>80000</v>
      </c>
    </row>
    <row r="42" spans="1:2" ht="12.75">
      <c r="A42" t="s">
        <v>538</v>
      </c>
      <c r="B42" s="66">
        <v>485000</v>
      </c>
    </row>
    <row r="43" spans="1:2" ht="12.75">
      <c r="A43" t="s">
        <v>542</v>
      </c>
      <c r="B43" s="66">
        <v>20000</v>
      </c>
    </row>
    <row r="44" spans="1:2" ht="12.75">
      <c r="A44" t="s">
        <v>539</v>
      </c>
      <c r="B44" s="66"/>
    </row>
    <row r="45" spans="1:2" ht="12.75">
      <c r="A45" t="s">
        <v>540</v>
      </c>
      <c r="B45" s="66">
        <v>6000</v>
      </c>
    </row>
    <row r="46" spans="1:2" ht="12.75">
      <c r="A46" t="s">
        <v>541</v>
      </c>
      <c r="B46" s="66">
        <v>6500</v>
      </c>
    </row>
    <row r="47" spans="1:2" ht="12.75">
      <c r="A47" t="s">
        <v>543</v>
      </c>
      <c r="B47" s="66">
        <v>3000</v>
      </c>
    </row>
    <row r="48" spans="1:2" ht="12.75">
      <c r="A48" t="s">
        <v>544</v>
      </c>
      <c r="B48" s="66">
        <v>5000</v>
      </c>
    </row>
    <row r="49" spans="1:2" ht="12.75">
      <c r="A49" t="s">
        <v>546</v>
      </c>
      <c r="B49" s="66">
        <v>4000</v>
      </c>
    </row>
    <row r="50" spans="1:2" ht="12.75">
      <c r="A50" t="s">
        <v>547</v>
      </c>
      <c r="B50" s="66">
        <v>3000</v>
      </c>
    </row>
    <row r="51" spans="1:2" ht="12.75">
      <c r="A51" t="s">
        <v>545</v>
      </c>
      <c r="B51" s="66">
        <v>10000</v>
      </c>
    </row>
    <row r="52" spans="1:2" ht="12.75">
      <c r="A52" t="s">
        <v>839</v>
      </c>
      <c r="B52" s="66">
        <f>SUM(B38:B51)</f>
        <v>1462500</v>
      </c>
    </row>
  </sheetData>
  <printOptions/>
  <pageMargins left="0.22" right="0.17" top="0.91" bottom="0.78" header="0.5" footer="0.5"/>
  <pageSetup fitToHeight="1"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pageSetUpPr fitToPage="1"/>
  </sheetPr>
  <dimension ref="A1:P52"/>
  <sheetViews>
    <sheetView workbookViewId="0" topLeftCell="A15">
      <selection activeCell="A28" sqref="A28"/>
    </sheetView>
  </sheetViews>
  <sheetFormatPr defaultColWidth="9.140625" defaultRowHeight="12.75"/>
  <cols>
    <col min="1" max="1" width="37.140625" style="0" customWidth="1"/>
    <col min="2" max="2" width="11.7109375" style="0" customWidth="1"/>
    <col min="3" max="3" width="6.57421875" style="0" customWidth="1"/>
    <col min="4" max="4" width="12.421875" style="0" customWidth="1"/>
    <col min="5" max="5" width="6.57421875" style="0" customWidth="1"/>
    <col min="6" max="6" width="12.421875" style="0" customWidth="1"/>
    <col min="7" max="7" width="6.57421875" style="0" customWidth="1"/>
    <col min="8" max="8" width="12.421875" style="0" customWidth="1"/>
    <col min="9" max="9" width="6.57421875" style="0" customWidth="1"/>
    <col min="10" max="10" width="12.421875" style="0" customWidth="1"/>
    <col min="11" max="11" width="6.57421875" style="0" customWidth="1"/>
    <col min="12" max="12" width="12.421875" style="0" customWidth="1"/>
    <col min="13" max="13" width="6.57421875" style="0" customWidth="1"/>
    <col min="14" max="14" width="12.421875" style="0" customWidth="1"/>
    <col min="15" max="15" width="3.8515625" style="0" customWidth="1"/>
    <col min="16" max="16" width="7.8515625" style="0" customWidth="1"/>
    <col min="17" max="17" width="12.00390625" style="0" customWidth="1"/>
  </cols>
  <sheetData>
    <row r="1" spans="2:4" ht="12.75">
      <c r="B1" t="s">
        <v>528</v>
      </c>
      <c r="C1">
        <v>1824</v>
      </c>
      <c r="D1" t="s">
        <v>522</v>
      </c>
    </row>
    <row r="2" spans="2:4" ht="12.75">
      <c r="B2" t="s">
        <v>530</v>
      </c>
      <c r="C2" s="116">
        <v>0.035</v>
      </c>
      <c r="D2" t="s">
        <v>531</v>
      </c>
    </row>
    <row r="3" spans="2:14" ht="12.75">
      <c r="B3" s="82"/>
      <c r="C3">
        <v>2</v>
      </c>
      <c r="D3" s="82"/>
      <c r="E3">
        <v>3</v>
      </c>
      <c r="F3" s="82"/>
      <c r="G3">
        <v>4</v>
      </c>
      <c r="H3" s="82"/>
      <c r="I3">
        <v>5</v>
      </c>
      <c r="J3" s="82"/>
      <c r="K3">
        <v>6</v>
      </c>
      <c r="L3" s="82"/>
      <c r="N3" s="82"/>
    </row>
    <row r="4" spans="2:14" ht="12.75">
      <c r="B4" s="82"/>
      <c r="C4" t="s">
        <v>510</v>
      </c>
      <c r="D4" s="82"/>
      <c r="E4" t="s">
        <v>514</v>
      </c>
      <c r="F4" s="82"/>
      <c r="G4" t="s">
        <v>515</v>
      </c>
      <c r="H4" s="82"/>
      <c r="I4" t="s">
        <v>516</v>
      </c>
      <c r="J4" s="82"/>
      <c r="K4" t="s">
        <v>517</v>
      </c>
      <c r="L4" s="82"/>
      <c r="N4" s="82"/>
    </row>
    <row r="5" spans="1:14" ht="12.75">
      <c r="A5" s="65" t="s">
        <v>511</v>
      </c>
      <c r="B5" s="82"/>
      <c r="C5" s="100" t="s">
        <v>512</v>
      </c>
      <c r="D5" s="85"/>
      <c r="E5" s="101" t="s">
        <v>513</v>
      </c>
      <c r="F5" s="87"/>
      <c r="G5" s="102" t="s">
        <v>518</v>
      </c>
      <c r="H5" s="89"/>
      <c r="I5" s="102"/>
      <c r="J5" s="89"/>
      <c r="K5" s="102"/>
      <c r="L5" s="89"/>
      <c r="N5" s="82"/>
    </row>
    <row r="6" spans="2:14" ht="12.75">
      <c r="B6" s="82"/>
      <c r="D6" s="82"/>
      <c r="F6" s="82"/>
      <c r="H6" s="82"/>
      <c r="J6" s="82"/>
      <c r="L6" s="82"/>
      <c r="M6" s="65" t="s">
        <v>532</v>
      </c>
      <c r="N6" s="82"/>
    </row>
    <row r="7" spans="1:16" ht="12.75">
      <c r="A7" s="68" t="s">
        <v>501</v>
      </c>
      <c r="B7" s="94" t="s">
        <v>500</v>
      </c>
      <c r="C7" s="67" t="s">
        <v>502</v>
      </c>
      <c r="D7" s="90" t="s">
        <v>503</v>
      </c>
      <c r="E7" s="67" t="s">
        <v>502</v>
      </c>
      <c r="F7" s="90" t="s">
        <v>503</v>
      </c>
      <c r="G7" s="67" t="s">
        <v>502</v>
      </c>
      <c r="H7" s="90" t="s">
        <v>503</v>
      </c>
      <c r="I7" s="67" t="s">
        <v>502</v>
      </c>
      <c r="J7" s="90" t="s">
        <v>503</v>
      </c>
      <c r="K7" s="67" t="s">
        <v>502</v>
      </c>
      <c r="L7" s="90" t="s">
        <v>503</v>
      </c>
      <c r="M7" s="67" t="s">
        <v>502</v>
      </c>
      <c r="N7" s="90" t="s">
        <v>503</v>
      </c>
      <c r="P7" t="s">
        <v>529</v>
      </c>
    </row>
    <row r="8" spans="1:14" ht="12.75">
      <c r="A8" t="s">
        <v>843</v>
      </c>
      <c r="B8" s="95"/>
      <c r="D8" s="91"/>
      <c r="F8" s="91"/>
      <c r="H8" s="91"/>
      <c r="J8" s="91"/>
      <c r="L8" s="91"/>
      <c r="N8" s="91"/>
    </row>
    <row r="9" spans="1:16" ht="12.75">
      <c r="A9" t="s">
        <v>493</v>
      </c>
      <c r="B9" s="96" t="s">
        <v>505</v>
      </c>
      <c r="C9">
        <f>$C$1*0.5</f>
        <v>912</v>
      </c>
      <c r="D9" s="91">
        <f>C9*$P9*(1+$C$2)^C$3</f>
        <v>58617.43199999999</v>
      </c>
      <c r="E9">
        <f>$C$1*0.5</f>
        <v>912</v>
      </c>
      <c r="F9" s="91">
        <f>E9*$P9*(1+$C$2)^E$3</f>
        <v>60669.042119999984</v>
      </c>
      <c r="G9">
        <f>$C$1*0.5</f>
        <v>912</v>
      </c>
      <c r="H9" s="91">
        <f>G9*$P9*(1+$C$2)^G$3</f>
        <v>62792.45859419998</v>
      </c>
      <c r="J9" s="91">
        <f>I9*$P9*(1+$C$2)^I$3</f>
        <v>0</v>
      </c>
      <c r="L9" s="91">
        <f>K9*$P9*(1+$C$2)^K$3</f>
        <v>0</v>
      </c>
      <c r="M9">
        <f>C9+E9+G9+I9+K9</f>
        <v>2736</v>
      </c>
      <c r="N9" s="91">
        <f>D9+F9+H9+J9+L9</f>
        <v>182078.93271419994</v>
      </c>
      <c r="P9" s="66">
        <v>60</v>
      </c>
    </row>
    <row r="10" spans="1:16" ht="12.75">
      <c r="A10" t="s">
        <v>492</v>
      </c>
      <c r="B10" s="96" t="s">
        <v>505</v>
      </c>
      <c r="C10">
        <f>$C$1*1.5</f>
        <v>2736</v>
      </c>
      <c r="D10" s="91">
        <f>C10*$P10*(1+$C$2)^C$3</f>
        <v>175852.29599999997</v>
      </c>
      <c r="E10">
        <f>$C$1*1.5</f>
        <v>2736</v>
      </c>
      <c r="F10" s="91">
        <f>E10*$P10*(1+$C$2)^E$3</f>
        <v>182007.12635999997</v>
      </c>
      <c r="G10">
        <f>$C$1*0.5</f>
        <v>912</v>
      </c>
      <c r="H10" s="91">
        <f>G10*$P10*(1+$C$2)^G$3</f>
        <v>62792.45859419998</v>
      </c>
      <c r="I10">
        <f>$C$1*0.5</f>
        <v>912</v>
      </c>
      <c r="J10" s="91">
        <f>I10*$P10*(1+$C$2)^I$3</f>
        <v>64990.19464499697</v>
      </c>
      <c r="K10">
        <f>$C$1*0.5*0.25</f>
        <v>228</v>
      </c>
      <c r="L10" s="91">
        <f>K10*$P10*(1+$C$2)^K$3</f>
        <v>16816.21286439297</v>
      </c>
      <c r="M10">
        <f aca="true" t="shared" si="0" ref="M10:N13">C10+E10+G10+I10+K10</f>
        <v>7524</v>
      </c>
      <c r="N10" s="91">
        <f t="shared" si="0"/>
        <v>502458.28846358985</v>
      </c>
      <c r="P10" s="66">
        <v>60</v>
      </c>
    </row>
    <row r="11" spans="1:16" ht="12.75">
      <c r="A11" t="s">
        <v>494</v>
      </c>
      <c r="B11" s="96" t="s">
        <v>505</v>
      </c>
      <c r="C11">
        <f>$C$1*0.2</f>
        <v>364.8</v>
      </c>
      <c r="D11" s="91">
        <f>C11*$P11*(1+$C$2)^C$3</f>
        <v>23446.972799999996</v>
      </c>
      <c r="E11">
        <f>$C$1*0.2</f>
        <v>364.8</v>
      </c>
      <c r="F11" s="91">
        <f>E11*$P11*(1+$C$2)^E$3</f>
        <v>24267.616847999994</v>
      </c>
      <c r="G11">
        <f>$C$1*0.5</f>
        <v>912</v>
      </c>
      <c r="H11" s="91">
        <f>G11*$P11*(1+$C$2)^G$3</f>
        <v>62792.45859419998</v>
      </c>
      <c r="I11">
        <f>$C$1*0.5</f>
        <v>912</v>
      </c>
      <c r="J11" s="91">
        <f>I11*$P11*(1+$C$2)^I$3</f>
        <v>64990.19464499697</v>
      </c>
      <c r="K11">
        <f>$C$1*0.5*0.25</f>
        <v>228</v>
      </c>
      <c r="L11" s="91">
        <f>K11*$P11*(1+$C$2)^K$3</f>
        <v>16816.21286439297</v>
      </c>
      <c r="M11">
        <f t="shared" si="0"/>
        <v>2781.6</v>
      </c>
      <c r="N11" s="91">
        <f t="shared" si="0"/>
        <v>192313.4557515899</v>
      </c>
      <c r="P11" s="66">
        <v>60</v>
      </c>
    </row>
    <row r="12" spans="1:16" ht="12.75">
      <c r="A12" t="s">
        <v>495</v>
      </c>
      <c r="B12" s="96" t="s">
        <v>505</v>
      </c>
      <c r="C12">
        <f>$C$1*0.2</f>
        <v>364.8</v>
      </c>
      <c r="D12" s="91">
        <f>C12*$P12*(1+$C$2)^C$3</f>
        <v>23446.972799999996</v>
      </c>
      <c r="E12">
        <f>$C$1*0.2</f>
        <v>364.8</v>
      </c>
      <c r="F12" s="91">
        <f>E12*$P12*(1+$C$2)^E$3</f>
        <v>24267.616847999994</v>
      </c>
      <c r="G12">
        <f>$C$1*0.5</f>
        <v>912</v>
      </c>
      <c r="H12" s="91">
        <f>G12*$P12*(1+$C$2)^G$3</f>
        <v>62792.45859419998</v>
      </c>
      <c r="I12">
        <f>$C$1*0.5</f>
        <v>912</v>
      </c>
      <c r="J12" s="91">
        <f>I12*$P12*(1+$C$2)^I$3</f>
        <v>64990.19464499697</v>
      </c>
      <c r="K12">
        <f>$C$1*0.5*0.25</f>
        <v>228</v>
      </c>
      <c r="L12" s="91">
        <f>K12*$P12*(1+$C$2)^K$3</f>
        <v>16816.21286439297</v>
      </c>
      <c r="M12">
        <f t="shared" si="0"/>
        <v>2781.6</v>
      </c>
      <c r="N12" s="91">
        <f t="shared" si="0"/>
        <v>192313.4557515899</v>
      </c>
      <c r="P12" s="66">
        <v>60</v>
      </c>
    </row>
    <row r="13" spans="1:16" ht="12.75">
      <c r="A13" t="s">
        <v>523</v>
      </c>
      <c r="B13" s="96">
        <v>3</v>
      </c>
      <c r="C13">
        <f>$C$1*0.2</f>
        <v>364.8</v>
      </c>
      <c r="D13" s="91">
        <f>C13*$P13*(1+$C$2)^C$3</f>
        <v>22274.62416</v>
      </c>
      <c r="E13">
        <f>$C$1*0.2</f>
        <v>364.8</v>
      </c>
      <c r="F13" s="91">
        <f>E13*$P13*(1+$C$2)^E$3</f>
        <v>23054.236005599996</v>
      </c>
      <c r="G13">
        <f>$C$1*0.2</f>
        <v>364.8</v>
      </c>
      <c r="H13" s="91">
        <f>G13*$P13*(1+$C$2)^G$3</f>
        <v>23861.134265795998</v>
      </c>
      <c r="I13">
        <f>$C$1*0.2</f>
        <v>364.8</v>
      </c>
      <c r="J13" s="91">
        <f>I13*$P13*(1+$C$2)^I$3</f>
        <v>24696.27396509885</v>
      </c>
      <c r="K13">
        <f>$C$1*0.2*0.25</f>
        <v>91.2</v>
      </c>
      <c r="L13" s="91">
        <f>K13*$P13*(1+$C$2)^K$3</f>
        <v>6390.160888469329</v>
      </c>
      <c r="M13">
        <f t="shared" si="0"/>
        <v>1550.4</v>
      </c>
      <c r="N13" s="91">
        <f t="shared" si="0"/>
        <v>100276.42928496416</v>
      </c>
      <c r="P13" s="66">
        <v>57</v>
      </c>
    </row>
    <row r="14" spans="1:16" ht="12.75">
      <c r="A14" t="s">
        <v>496</v>
      </c>
      <c r="B14" s="96"/>
      <c r="D14" s="91"/>
      <c r="F14" s="91"/>
      <c r="H14" s="91"/>
      <c r="J14" s="91"/>
      <c r="L14" s="91"/>
      <c r="N14" s="91"/>
      <c r="P14" s="66"/>
    </row>
    <row r="15" spans="1:16" ht="12.75">
      <c r="A15" t="s">
        <v>842</v>
      </c>
      <c r="B15" s="96">
        <v>4</v>
      </c>
      <c r="C15">
        <f>$C$1*0.25</f>
        <v>456</v>
      </c>
      <c r="D15" s="91">
        <f>C15*$P15*(1+$C$2)^C$3</f>
        <v>31751.108999999997</v>
      </c>
      <c r="E15">
        <f>$C$1*0.25</f>
        <v>456</v>
      </c>
      <c r="F15" s="91">
        <f>E15*$P15*(1+$C$2)^E$3</f>
        <v>32862.39781499999</v>
      </c>
      <c r="G15">
        <f>$C$1*0.25</f>
        <v>456</v>
      </c>
      <c r="H15" s="91">
        <f>G15*$P15*(1+$C$2)^G$3</f>
        <v>34012.58173852499</v>
      </c>
      <c r="I15">
        <f>$C$1*0.25</f>
        <v>456</v>
      </c>
      <c r="J15" s="91">
        <f>I15*$P15*(1+$C$2)^I$3</f>
        <v>35203.02209937336</v>
      </c>
      <c r="K15">
        <f>$C$1*0.25*0.25</f>
        <v>114</v>
      </c>
      <c r="L15" s="91">
        <f>K15*$P15*(1+$C$2)^K$3</f>
        <v>9108.781968212857</v>
      </c>
      <c r="M15">
        <f>C15+E15+G15+I15+K15</f>
        <v>1938</v>
      </c>
      <c r="N15" s="91">
        <f>D15+F15+H15+J15+L15</f>
        <v>142937.8926211112</v>
      </c>
      <c r="P15" s="66">
        <v>65</v>
      </c>
    </row>
    <row r="16" spans="1:16" ht="12.75">
      <c r="A16" s="67" t="s">
        <v>507</v>
      </c>
      <c r="B16" s="97">
        <v>5</v>
      </c>
      <c r="C16" s="67"/>
      <c r="D16" s="92">
        <f>C16*$P16*(1+$C$2)^C$3</f>
        <v>0</v>
      </c>
      <c r="E16" s="67"/>
      <c r="F16" s="92">
        <f>E16*$P16*(1+$C$2)^E$3</f>
        <v>0</v>
      </c>
      <c r="G16" s="67">
        <f>$C$1*1.5</f>
        <v>2736</v>
      </c>
      <c r="H16" s="92">
        <f>G16*$P16*(1+$C$2)^G$3</f>
        <v>109886.80253984997</v>
      </c>
      <c r="I16" s="67">
        <f>$C$1*1.5</f>
        <v>2736</v>
      </c>
      <c r="J16" s="92">
        <f>I16*$P16*(1+$C$2)^I$3</f>
        <v>113732.8406287447</v>
      </c>
      <c r="K16" s="67">
        <f>$C$1*2*0.25</f>
        <v>912</v>
      </c>
      <c r="L16" s="92">
        <f>K16*$P16*(1+$C$2)^K$3</f>
        <v>39237.83001691692</v>
      </c>
      <c r="M16" s="67">
        <f>C16+E16+G16+I16+K16</f>
        <v>6384</v>
      </c>
      <c r="N16" s="92">
        <f>D16+F16+H16+J16+L16</f>
        <v>262857.4731855116</v>
      </c>
      <c r="P16" s="66">
        <v>35</v>
      </c>
    </row>
    <row r="17" spans="1:14" ht="12.75">
      <c r="A17" s="65" t="s">
        <v>519</v>
      </c>
      <c r="B17" s="96"/>
      <c r="D17" s="91">
        <f>SUM(D9:D16)</f>
        <v>335389.40676</v>
      </c>
      <c r="F17" s="91">
        <f>SUM(F9:F16)</f>
        <v>347128.0359965999</v>
      </c>
      <c r="H17" s="91">
        <f>SUM(H9:H16)</f>
        <v>418930.3529209709</v>
      </c>
      <c r="J17" s="91">
        <f>SUM(J9:J16)</f>
        <v>368602.72062820784</v>
      </c>
      <c r="L17" s="91">
        <f>SUM(L9:L16)</f>
        <v>105185.41146677801</v>
      </c>
      <c r="N17" s="91">
        <f>SUM(N9:N16)</f>
        <v>1575235.9277725567</v>
      </c>
    </row>
    <row r="18" spans="1:14" ht="12.75">
      <c r="A18" t="s">
        <v>508</v>
      </c>
      <c r="B18" s="96">
        <v>6</v>
      </c>
      <c r="D18" s="91">
        <f>D17*0.3</f>
        <v>100616.822028</v>
      </c>
      <c r="F18" s="91">
        <f>F17*0.3</f>
        <v>104138.41079897997</v>
      </c>
      <c r="H18" s="91">
        <f>H17*0.3</f>
        <v>125679.10587629126</v>
      </c>
      <c r="J18" s="91">
        <f>J17*0.3</f>
        <v>110580.81618846236</v>
      </c>
      <c r="L18" s="91">
        <f>L17*0.3</f>
        <v>31555.6234400334</v>
      </c>
      <c r="N18" s="91">
        <f>N17*0.3</f>
        <v>472570.77833176695</v>
      </c>
    </row>
    <row r="19" spans="1:14" ht="12.75">
      <c r="A19" s="70" t="s">
        <v>520</v>
      </c>
      <c r="B19" s="98"/>
      <c r="C19" s="71"/>
      <c r="D19" s="93">
        <f>D17+D18</f>
        <v>436006.22878799995</v>
      </c>
      <c r="E19" s="71"/>
      <c r="F19" s="93">
        <f>F17+F18</f>
        <v>451266.44679557986</v>
      </c>
      <c r="G19" s="71"/>
      <c r="H19" s="93">
        <f>H17+H18</f>
        <v>544609.4587972622</v>
      </c>
      <c r="I19" s="71"/>
      <c r="J19" s="93">
        <f>J17+J18</f>
        <v>479183.5368166702</v>
      </c>
      <c r="K19" s="71"/>
      <c r="L19" s="93">
        <f>L17+L18</f>
        <v>136741.0349068114</v>
      </c>
      <c r="M19" s="71"/>
      <c r="N19" s="93">
        <f>N17+N18</f>
        <v>2047806.7061043237</v>
      </c>
    </row>
    <row r="20" spans="1:14" ht="12.75">
      <c r="A20" t="s">
        <v>497</v>
      </c>
      <c r="B20" s="96"/>
      <c r="D20" s="91"/>
      <c r="F20" s="91"/>
      <c r="H20" s="91"/>
      <c r="J20" s="91"/>
      <c r="L20" s="91"/>
      <c r="N20" s="91"/>
    </row>
    <row r="21" spans="1:14" ht="12.75">
      <c r="A21" t="s">
        <v>498</v>
      </c>
      <c r="B21" s="96"/>
      <c r="D21" s="91"/>
      <c r="F21" s="91">
        <f>B38</f>
        <v>600000</v>
      </c>
      <c r="H21" s="91">
        <f>($B$52-$B$38)/2</f>
        <v>307250</v>
      </c>
      <c r="J21" s="91">
        <f>($B$52-$B$38)/2</f>
        <v>307250</v>
      </c>
      <c r="L21" s="91"/>
      <c r="N21" s="91">
        <f>D21+F21+H21+J21+L21</f>
        <v>1214500</v>
      </c>
    </row>
    <row r="22" spans="1:14" ht="12.75">
      <c r="A22" t="s">
        <v>499</v>
      </c>
      <c r="B22" s="96"/>
      <c r="D22" s="91">
        <v>10000</v>
      </c>
      <c r="F22" s="91">
        <f>$D22*(1+$C$2)^C$3</f>
        <v>10712.249999999998</v>
      </c>
      <c r="H22" s="91">
        <f>$D22*(1+$C$2)^E$3</f>
        <v>11087.178749999997</v>
      </c>
      <c r="J22" s="91">
        <f>$D22*(1+$C$2)^G$3</f>
        <v>11475.230006249996</v>
      </c>
      <c r="L22" s="91">
        <f>($D22*(1+$C$2)^I$3)*0.25</f>
        <v>2969.215764117186</v>
      </c>
      <c r="N22" s="91">
        <f>D22+F22+H22+J22+L22</f>
        <v>46243.87452036718</v>
      </c>
    </row>
    <row r="23" spans="1:14" ht="12.75">
      <c r="A23" t="s">
        <v>848</v>
      </c>
      <c r="B23" s="95"/>
      <c r="D23" s="91">
        <v>20000</v>
      </c>
      <c r="F23" s="91">
        <f>$D23*(1+$C$2)^C$3</f>
        <v>21424.499999999996</v>
      </c>
      <c r="H23" s="91">
        <f>$D23*(1+$C$2)^E$3</f>
        <v>22174.357499999995</v>
      </c>
      <c r="J23" s="91">
        <f>$D23*(1+$C$2)^G$3</f>
        <v>22950.460012499992</v>
      </c>
      <c r="L23" s="91">
        <f>($D23*(1+$C$2)^I$3)*0.5</f>
        <v>11876.863056468745</v>
      </c>
      <c r="N23" s="91">
        <f>D23+F23+H23+J23+L23</f>
        <v>98426.18056896873</v>
      </c>
    </row>
    <row r="24" spans="1:14" ht="12.75">
      <c r="A24" s="70" t="s">
        <v>509</v>
      </c>
      <c r="B24" s="99"/>
      <c r="C24" s="71"/>
      <c r="D24" s="93">
        <f>SUM(D21:D23)</f>
        <v>30000</v>
      </c>
      <c r="E24" s="71"/>
      <c r="F24" s="93">
        <f>SUM(F21:F23)</f>
        <v>632136.75</v>
      </c>
      <c r="G24" s="71"/>
      <c r="H24" s="93">
        <f>SUM(H21:H23)</f>
        <v>340511.53625</v>
      </c>
      <c r="I24" s="71"/>
      <c r="J24" s="93">
        <f>SUM(J21:J23)</f>
        <v>341675.69001874997</v>
      </c>
      <c r="K24" s="71"/>
      <c r="L24" s="93">
        <f>SUM(L21:L23)</f>
        <v>14846.078820585932</v>
      </c>
      <c r="M24" s="71"/>
      <c r="N24" s="93">
        <f>SUM(N21:N23)</f>
        <v>1359170.055089336</v>
      </c>
    </row>
    <row r="25" spans="1:14" ht="12.75">
      <c r="A25" s="65" t="s">
        <v>506</v>
      </c>
      <c r="B25" s="95"/>
      <c r="D25" s="91">
        <f>D19+D24</f>
        <v>466006.22878799995</v>
      </c>
      <c r="F25" s="91">
        <f>F19+F24</f>
        <v>1083403.19679558</v>
      </c>
      <c r="H25" s="91">
        <f>H19+H24</f>
        <v>885120.9950472622</v>
      </c>
      <c r="J25" s="91">
        <f>J19+J24</f>
        <v>820859.2268354201</v>
      </c>
      <c r="L25" s="91">
        <f>L19+L24</f>
        <v>151587.11372739734</v>
      </c>
      <c r="N25" s="91">
        <f>N19+N24</f>
        <v>3406976.7611936596</v>
      </c>
    </row>
    <row r="27" ht="12.75">
      <c r="A27" t="s">
        <v>504</v>
      </c>
    </row>
    <row r="28" ht="12.75">
      <c r="A28" t="s">
        <v>172</v>
      </c>
    </row>
    <row r="29" ht="12.75">
      <c r="A29" t="s">
        <v>524</v>
      </c>
    </row>
    <row r="30" ht="12.75">
      <c r="A30" t="s">
        <v>525</v>
      </c>
    </row>
    <row r="31" ht="12.75">
      <c r="A31" t="s">
        <v>526</v>
      </c>
    </row>
    <row r="32" ht="12.75">
      <c r="A32" t="s">
        <v>527</v>
      </c>
    </row>
    <row r="33" ht="12.75">
      <c r="A33" t="s">
        <v>548</v>
      </c>
    </row>
    <row r="36" ht="12.75">
      <c r="A36" t="s">
        <v>521</v>
      </c>
    </row>
    <row r="37" spans="1:2" ht="12.75">
      <c r="A37" t="s">
        <v>549</v>
      </c>
      <c r="B37" s="66">
        <v>100000</v>
      </c>
    </row>
    <row r="38" spans="1:2" ht="12.75">
      <c r="A38" t="s">
        <v>534</v>
      </c>
      <c r="B38" s="66">
        <v>600000</v>
      </c>
    </row>
    <row r="39" spans="1:2" ht="12.75">
      <c r="A39" t="s">
        <v>536</v>
      </c>
      <c r="B39" s="66">
        <v>25000</v>
      </c>
    </row>
    <row r="40" spans="1:2" ht="12.75">
      <c r="A40" t="s">
        <v>537</v>
      </c>
      <c r="B40" s="66">
        <v>60000</v>
      </c>
    </row>
    <row r="41" spans="1:2" ht="12.75">
      <c r="A41" t="s">
        <v>550</v>
      </c>
      <c r="B41" s="66">
        <v>300000</v>
      </c>
    </row>
    <row r="42" spans="1:2" ht="12.75">
      <c r="A42" t="s">
        <v>551</v>
      </c>
      <c r="B42" s="66">
        <v>80000</v>
      </c>
    </row>
    <row r="43" spans="1:2" ht="12.75">
      <c r="A43" t="s">
        <v>552</v>
      </c>
      <c r="B43" s="66">
        <v>12000</v>
      </c>
    </row>
    <row r="44" spans="1:2" ht="12.75">
      <c r="A44" t="s">
        <v>539</v>
      </c>
      <c r="B44" s="66"/>
    </row>
    <row r="45" spans="1:2" ht="12.75">
      <c r="A45" t="s">
        <v>540</v>
      </c>
      <c r="B45" s="66">
        <v>6000</v>
      </c>
    </row>
    <row r="46" spans="1:2" ht="12.75">
      <c r="A46" t="s">
        <v>541</v>
      </c>
      <c r="B46" s="66">
        <v>6500</v>
      </c>
    </row>
    <row r="47" spans="1:2" ht="12.75">
      <c r="A47" t="s">
        <v>543</v>
      </c>
      <c r="B47" s="66">
        <v>3000</v>
      </c>
    </row>
    <row r="48" spans="1:2" ht="12.75">
      <c r="A48" t="s">
        <v>544</v>
      </c>
      <c r="B48" s="66">
        <v>5000</v>
      </c>
    </row>
    <row r="49" spans="1:2" ht="12.75">
      <c r="A49" t="s">
        <v>546</v>
      </c>
      <c r="B49" s="66">
        <v>4000</v>
      </c>
    </row>
    <row r="50" spans="1:2" ht="12.75">
      <c r="A50" t="s">
        <v>547</v>
      </c>
      <c r="B50" s="66">
        <v>3000</v>
      </c>
    </row>
    <row r="51" spans="1:2" ht="12.75">
      <c r="A51" t="s">
        <v>545</v>
      </c>
      <c r="B51" s="66">
        <v>10000</v>
      </c>
    </row>
    <row r="52" spans="1:2" ht="12.75">
      <c r="A52" t="s">
        <v>839</v>
      </c>
      <c r="B52" s="66">
        <f>SUM(B37:B51)</f>
        <v>1214500</v>
      </c>
    </row>
  </sheetData>
  <printOptions/>
  <pageMargins left="0.17" right="0.17" top="1" bottom="0.58" header="0.5" footer="0.37"/>
  <pageSetup fitToHeight="1" fitToWidth="1" horizontalDpi="600" verticalDpi="600" orientation="landscape" scale="74" r:id="rId1"/>
</worksheet>
</file>

<file path=xl/worksheets/sheet5.xml><?xml version="1.0" encoding="utf-8"?>
<worksheet xmlns="http://schemas.openxmlformats.org/spreadsheetml/2006/main" xmlns:r="http://schemas.openxmlformats.org/officeDocument/2006/relationships">
  <dimension ref="A1:L38"/>
  <sheetViews>
    <sheetView workbookViewId="0" topLeftCell="A1">
      <selection activeCell="L8" sqref="L8"/>
    </sheetView>
  </sheetViews>
  <sheetFormatPr defaultColWidth="9.140625" defaultRowHeight="12.75"/>
  <cols>
    <col min="1" max="1" width="23.8515625" style="0" customWidth="1"/>
    <col min="2" max="10" width="6.7109375" style="0" customWidth="1"/>
  </cols>
  <sheetData>
    <row r="1" spans="1:11" ht="12.75">
      <c r="A1" s="118"/>
      <c r="B1" s="289" t="s">
        <v>715</v>
      </c>
      <c r="C1" s="289"/>
      <c r="D1" s="289" t="s">
        <v>716</v>
      </c>
      <c r="E1" s="289"/>
      <c r="F1" s="289"/>
      <c r="G1" s="289"/>
      <c r="H1" s="289"/>
      <c r="I1" s="289"/>
      <c r="J1" s="289"/>
      <c r="K1" s="118"/>
    </row>
    <row r="2" spans="1:11" s="64" customFormat="1" ht="12.75">
      <c r="A2" s="122" t="s">
        <v>708</v>
      </c>
      <c r="B2" s="122" t="s">
        <v>690</v>
      </c>
      <c r="C2" s="122" t="s">
        <v>691</v>
      </c>
      <c r="D2" s="122" t="s">
        <v>692</v>
      </c>
      <c r="E2" s="122" t="s">
        <v>693</v>
      </c>
      <c r="F2" s="122" t="s">
        <v>694</v>
      </c>
      <c r="G2" s="122" t="s">
        <v>695</v>
      </c>
      <c r="H2" s="122" t="s">
        <v>696</v>
      </c>
      <c r="I2" s="122" t="s">
        <v>705</v>
      </c>
      <c r="J2" s="122" t="s">
        <v>706</v>
      </c>
      <c r="K2" s="122" t="s">
        <v>839</v>
      </c>
    </row>
    <row r="3" spans="1:11" ht="12.75">
      <c r="A3" s="118" t="s">
        <v>689</v>
      </c>
      <c r="B3" s="217">
        <v>738.85</v>
      </c>
      <c r="C3" s="217">
        <v>494.98</v>
      </c>
      <c r="D3" s="217"/>
      <c r="E3" s="217"/>
      <c r="F3" s="217"/>
      <c r="G3" s="217"/>
      <c r="H3" s="217"/>
      <c r="I3" s="217"/>
      <c r="J3" s="217"/>
      <c r="K3" s="217">
        <f>SUM(B3:J3)</f>
        <v>1233.83</v>
      </c>
    </row>
    <row r="4" spans="1:11" ht="12.75">
      <c r="A4" s="118" t="s">
        <v>697</v>
      </c>
      <c r="B4" s="217"/>
      <c r="C4" s="217">
        <v>214.171</v>
      </c>
      <c r="D4" s="217">
        <v>1800</v>
      </c>
      <c r="E4" s="217">
        <f>('SDR Cost Estimate (FY08)'!W108-'SDR Cost Estimate (FY08)'!T108-C4-D4/B19)*B19^E18</f>
        <v>1144.245785902144</v>
      </c>
      <c r="F4" s="217"/>
      <c r="G4" s="217"/>
      <c r="H4" s="217"/>
      <c r="I4" s="217"/>
      <c r="J4" s="217"/>
      <c r="K4" s="217">
        <f>SUM(B4:J4)</f>
        <v>3158.416785902144</v>
      </c>
    </row>
    <row r="5" spans="1:11" ht="12.75">
      <c r="A5" s="118" t="s">
        <v>698</v>
      </c>
      <c r="B5" s="217"/>
      <c r="C5" s="217"/>
      <c r="D5" s="217"/>
      <c r="E5" s="217">
        <v>1600</v>
      </c>
      <c r="F5" s="217">
        <v>5500</v>
      </c>
      <c r="G5" s="217">
        <f>('SDR Cost Estimate (FY08)'!AH108-'SDR Cost Estimate (FY08)'!AE108-E5/B19^E18-F5/B19^F18)*B19^G18</f>
        <v>1426.4842817159565</v>
      </c>
      <c r="H5" s="217"/>
      <c r="I5" s="217"/>
      <c r="J5" s="217"/>
      <c r="K5" s="217">
        <f aca="true" t="shared" si="0" ref="K5:K12">SUM(B5:J5)</f>
        <v>8526.484281715957</v>
      </c>
    </row>
    <row r="6" spans="1:11" ht="12.75">
      <c r="A6" s="118" t="s">
        <v>699</v>
      </c>
      <c r="B6" s="217"/>
      <c r="C6" s="217"/>
      <c r="D6" s="217"/>
      <c r="E6" s="217"/>
      <c r="F6" s="217"/>
      <c r="G6" s="217">
        <f>('SDR Cost Estimate (FY08)'!AS108-'SDR Cost Estimate (FY08)'!AP108)*0.25*B19^G18</f>
        <v>5966.158226773391</v>
      </c>
      <c r="H6" s="217">
        <f>('SDR Cost Estimate (FY08)'!AS108-'SDR Cost Estimate (FY08)'!AP108)*0.45*B19^H18</f>
        <v>11114.952776478825</v>
      </c>
      <c r="I6" s="217">
        <f>('SDR Cost Estimate (FY08)'!AS108-'SDR Cost Estimate (FY08)'!AP108)*0.3*B19^I18</f>
        <v>7669.317415770391</v>
      </c>
      <c r="J6" s="217"/>
      <c r="K6" s="217">
        <f t="shared" si="0"/>
        <v>24750.428419022606</v>
      </c>
    </row>
    <row r="7" spans="1:11" ht="12.75">
      <c r="A7" s="118" t="s">
        <v>700</v>
      </c>
      <c r="B7" s="217"/>
      <c r="C7" s="217"/>
      <c r="D7" s="217"/>
      <c r="E7" s="217"/>
      <c r="F7" s="217"/>
      <c r="G7" s="217"/>
      <c r="H7" s="217"/>
      <c r="I7" s="217">
        <f>('SDR Cost Estimate (FY08)'!BD108-'SDR Cost Estimate (FY08)'!BA108)/2*B19^I18</f>
        <v>1852.9288441188353</v>
      </c>
      <c r="J7" s="217">
        <f>('SDR Cost Estimate (FY08)'!BD108-'SDR Cost Estimate (FY08)'!BA108)/2*B19^J18</f>
        <v>1917.7813536629944</v>
      </c>
      <c r="K7" s="217">
        <f t="shared" si="0"/>
        <v>3770.7101977818297</v>
      </c>
    </row>
    <row r="8" spans="1:12" ht="12.75">
      <c r="A8" s="118" t="s">
        <v>1001</v>
      </c>
      <c r="B8" s="217"/>
      <c r="C8" s="217"/>
      <c r="D8" s="217"/>
      <c r="E8" s="217">
        <f>'SDR Cost Estimate (FY08)'!T108*B19^E18</f>
        <v>490.16573339991254</v>
      </c>
      <c r="F8" s="217"/>
      <c r="G8" s="217">
        <f>'SDR Cost Estimate (FY08)'!AE108*B19^G18+'SDR Cost Estimate (FY08)'!AP108*0.25*B19^G18</f>
        <v>3111.25668583845</v>
      </c>
      <c r="H8" s="217">
        <f>'SDR Cost Estimate (FY08)'!AP108*0.45*B19^H18</f>
        <v>2797.5514596796465</v>
      </c>
      <c r="I8" s="217">
        <f>'SDR Cost Estimate (FY08)'!AP108*0.3*B19^I18+'SDR Cost Estimate (FY08)'!BA108/2*B19^I18</f>
        <v>2300.2630943223608</v>
      </c>
      <c r="J8" s="217">
        <f>'SDR Cost Estimate (FY08)'!BA108/2*B19^J18</f>
        <v>382.90092769342357</v>
      </c>
      <c r="K8" s="217">
        <f t="shared" si="0"/>
        <v>9082.137900933792</v>
      </c>
      <c r="L8" s="116">
        <f>K8/SUM(K4:K7)</f>
        <v>0.2258898904796282</v>
      </c>
    </row>
    <row r="9" spans="1:12" ht="12.75">
      <c r="A9" s="118" t="s">
        <v>1002</v>
      </c>
      <c r="B9" s="217"/>
      <c r="C9" s="217"/>
      <c r="D9" s="217"/>
      <c r="E9" s="217"/>
      <c r="F9" s="217"/>
      <c r="G9" s="217"/>
      <c r="H9" s="217">
        <v>300</v>
      </c>
      <c r="I9" s="217">
        <v>400</v>
      </c>
      <c r="J9" s="217">
        <f>('SDR Cost Estimate (FY08)'!I108*3/22-H9-I9)*B19^J18</f>
        <v>444.6976055731044</v>
      </c>
      <c r="K9" s="217">
        <f t="shared" si="0"/>
        <v>1144.6976055731043</v>
      </c>
      <c r="L9" s="116">
        <f>(K8+K9)/SUM(K4:K7)</f>
        <v>0.2543606778179944</v>
      </c>
    </row>
    <row r="10" spans="1:12" ht="12.75">
      <c r="A10" s="218" t="s">
        <v>712</v>
      </c>
      <c r="B10" s="217">
        <f>SUM(B3:B9)</f>
        <v>738.85</v>
      </c>
      <c r="C10" s="217">
        <f aca="true" t="shared" si="1" ref="C10:J10">SUM(C3:C9)</f>
        <v>709.1510000000001</v>
      </c>
      <c r="D10" s="217">
        <f t="shared" si="1"/>
        <v>1800</v>
      </c>
      <c r="E10" s="217">
        <f t="shared" si="1"/>
        <v>3234.4115193020566</v>
      </c>
      <c r="F10" s="217">
        <f t="shared" si="1"/>
        <v>5500</v>
      </c>
      <c r="G10" s="217">
        <f t="shared" si="1"/>
        <v>10503.899194327798</v>
      </c>
      <c r="H10" s="217">
        <f t="shared" si="1"/>
        <v>14212.504236158471</v>
      </c>
      <c r="I10" s="217">
        <f t="shared" si="1"/>
        <v>12222.509354211586</v>
      </c>
      <c r="J10" s="217">
        <f t="shared" si="1"/>
        <v>2745.3798869295224</v>
      </c>
      <c r="K10" s="219">
        <f>SUM(K3:K9)</f>
        <v>51666.70519092944</v>
      </c>
      <c r="L10" s="20"/>
    </row>
    <row r="11" spans="1:11" ht="12.75">
      <c r="A11" s="220" t="s">
        <v>709</v>
      </c>
      <c r="B11" s="217"/>
      <c r="C11" s="217"/>
      <c r="D11" s="217">
        <v>200</v>
      </c>
      <c r="E11" s="217">
        <f>'NIR Imager ROM'!D25/1000*B19</f>
        <v>482.3164467955799</v>
      </c>
      <c r="F11" s="217">
        <f>'NIR Imager ROM'!F25/1000*B19-D11*B19^2</f>
        <v>907.0773086834253</v>
      </c>
      <c r="G11" s="217">
        <f>'NIR Imager ROM'!H25/1000*B19</f>
        <v>1044.4402298739162</v>
      </c>
      <c r="H11" s="217">
        <f>'NIR Imager ROM'!J25/1000*B19</f>
        <v>977.9292997746597</v>
      </c>
      <c r="I11" s="217">
        <f>'NIR Imager ROM'!L25/1000*B19</f>
        <v>156.89266270785623</v>
      </c>
      <c r="J11" s="217"/>
      <c r="K11" s="217">
        <f t="shared" si="0"/>
        <v>3768.6559478354375</v>
      </c>
    </row>
    <row r="12" spans="1:11" ht="12.75">
      <c r="A12" s="220" t="s">
        <v>710</v>
      </c>
      <c r="B12" s="217"/>
      <c r="C12" s="217"/>
      <c r="D12" s="217">
        <v>50</v>
      </c>
      <c r="E12" s="217">
        <f>(189.7-D12)+100</f>
        <v>239.7</v>
      </c>
      <c r="F12" s="217">
        <f>(206.22-100)+500</f>
        <v>606.22</v>
      </c>
      <c r="G12" s="217">
        <v>1300</v>
      </c>
      <c r="H12" s="217">
        <v>1400</v>
      </c>
      <c r="I12" s="217">
        <f>5000-SUM(D12:H12)</f>
        <v>1404.08</v>
      </c>
      <c r="J12" s="217"/>
      <c r="K12" s="217">
        <f t="shared" si="0"/>
        <v>5000</v>
      </c>
    </row>
    <row r="13" spans="1:11" ht="12.75">
      <c r="A13" s="220" t="s">
        <v>711</v>
      </c>
      <c r="B13" s="217"/>
      <c r="C13" s="217"/>
      <c r="D13" s="217"/>
      <c r="E13" s="217"/>
      <c r="F13" s="217">
        <f>'Vis Imager ROM'!D25/1000*B19^2</f>
        <v>499.19752243342515</v>
      </c>
      <c r="G13" s="217">
        <f>'Vis Imager ROM'!F25/1000*B19^2</f>
        <v>1160.568589487345</v>
      </c>
      <c r="H13" s="217">
        <f>'Vis Imager ROM'!H25/1000*B19^2</f>
        <v>948.1637379195033</v>
      </c>
      <c r="I13" s="217">
        <f>'Vis Imager ROM'!J25/1000*B19^2</f>
        <v>879.3249252667729</v>
      </c>
      <c r="J13" s="217">
        <f>'Vis Imager ROM'!L25/1000*B19^2</f>
        <v>162.3839059026312</v>
      </c>
      <c r="K13" s="217">
        <f>SUM(B13:J13)</f>
        <v>3649.6386810096774</v>
      </c>
    </row>
    <row r="14" spans="1:12" ht="12.75">
      <c r="A14" s="220" t="s">
        <v>491</v>
      </c>
      <c r="B14" s="217"/>
      <c r="C14" s="217"/>
      <c r="D14" s="217"/>
      <c r="E14" s="217">
        <v>50</v>
      </c>
      <c r="F14" s="217">
        <v>300</v>
      </c>
      <c r="G14" s="217">
        <v>600</v>
      </c>
      <c r="H14" s="217">
        <v>1000</v>
      </c>
      <c r="I14" s="217">
        <f>SUM(K11:K13)*0.3-SUM(E14:H14)</f>
        <v>1775.4883886535345</v>
      </c>
      <c r="J14" s="217"/>
      <c r="K14" s="217">
        <f>SUM(B14:J14)</f>
        <v>3725.4883886535345</v>
      </c>
      <c r="L14" s="116">
        <f>K14/SUM(K11:K13)</f>
        <v>0.3</v>
      </c>
    </row>
    <row r="15" spans="1:11" ht="12.75">
      <c r="A15" s="218" t="s">
        <v>713</v>
      </c>
      <c r="B15" s="217"/>
      <c r="C15" s="217"/>
      <c r="D15" s="217">
        <f aca="true" t="shared" si="2" ref="D15:K15">SUM(D11:D14)</f>
        <v>250</v>
      </c>
      <c r="E15" s="217">
        <f t="shared" si="2"/>
        <v>772.0164467955799</v>
      </c>
      <c r="F15" s="217">
        <f t="shared" si="2"/>
        <v>2312.4948311168505</v>
      </c>
      <c r="G15" s="217">
        <f t="shared" si="2"/>
        <v>4105.008819361261</v>
      </c>
      <c r="H15" s="217">
        <f t="shared" si="2"/>
        <v>4326.093037694163</v>
      </c>
      <c r="I15" s="217">
        <f t="shared" si="2"/>
        <v>4215.785976628164</v>
      </c>
      <c r="J15" s="217">
        <f t="shared" si="2"/>
        <v>162.3839059026312</v>
      </c>
      <c r="K15" s="219">
        <f t="shared" si="2"/>
        <v>16143.783017498648</v>
      </c>
    </row>
    <row r="16" spans="1:11" ht="12.75">
      <c r="A16" s="218" t="s">
        <v>714</v>
      </c>
      <c r="B16" s="217">
        <f>B10+B15</f>
        <v>738.85</v>
      </c>
      <c r="C16" s="217">
        <f aca="true" t="shared" si="3" ref="C16:J16">C10+C15</f>
        <v>709.1510000000001</v>
      </c>
      <c r="D16" s="217">
        <f t="shared" si="3"/>
        <v>2050</v>
      </c>
      <c r="E16" s="217">
        <f t="shared" si="3"/>
        <v>4006.4279660976363</v>
      </c>
      <c r="F16" s="217">
        <f t="shared" si="3"/>
        <v>7812.49483111685</v>
      </c>
      <c r="G16" s="217">
        <f t="shared" si="3"/>
        <v>14608.908013689059</v>
      </c>
      <c r="H16" s="217">
        <f t="shared" si="3"/>
        <v>18538.597273852632</v>
      </c>
      <c r="I16" s="217">
        <f t="shared" si="3"/>
        <v>16438.29533083975</v>
      </c>
      <c r="J16" s="217">
        <f t="shared" si="3"/>
        <v>2907.7637928321537</v>
      </c>
      <c r="K16" s="219">
        <f>K10+K15</f>
        <v>67810.48820842808</v>
      </c>
    </row>
    <row r="17" spans="1:11" ht="12.75">
      <c r="A17" s="105"/>
      <c r="B17" s="20"/>
      <c r="C17" s="20"/>
      <c r="D17" s="20"/>
      <c r="E17" s="20"/>
      <c r="F17" s="20"/>
      <c r="G17" s="20"/>
      <c r="H17" s="20"/>
      <c r="I17" s="20"/>
      <c r="J17" s="20"/>
      <c r="K17" s="106"/>
    </row>
    <row r="18" spans="1:10" ht="12.75">
      <c r="A18" t="s">
        <v>707</v>
      </c>
      <c r="D18">
        <v>1</v>
      </c>
      <c r="E18">
        <v>2</v>
      </c>
      <c r="F18">
        <v>3</v>
      </c>
      <c r="G18">
        <v>4</v>
      </c>
      <c r="H18">
        <v>5</v>
      </c>
      <c r="I18">
        <v>6</v>
      </c>
      <c r="J18">
        <v>7</v>
      </c>
    </row>
    <row r="19" spans="1:2" ht="12.75">
      <c r="A19" t="s">
        <v>701</v>
      </c>
      <c r="B19">
        <v>1.035</v>
      </c>
    </row>
    <row r="22" spans="1:11" ht="12.75">
      <c r="A22" s="221" t="s">
        <v>404</v>
      </c>
      <c r="B22" s="289" t="s">
        <v>715</v>
      </c>
      <c r="C22" s="289"/>
      <c r="D22" s="289" t="s">
        <v>716</v>
      </c>
      <c r="E22" s="289"/>
      <c r="F22" s="289"/>
      <c r="G22" s="289"/>
      <c r="H22" s="289"/>
      <c r="I22" s="289"/>
      <c r="J22" s="289"/>
      <c r="K22" s="118"/>
    </row>
    <row r="23" spans="1:11" ht="12.75">
      <c r="A23" s="122" t="s">
        <v>708</v>
      </c>
      <c r="B23" s="122" t="s">
        <v>690</v>
      </c>
      <c r="C23" s="122" t="s">
        <v>691</v>
      </c>
      <c r="D23" s="122" t="s">
        <v>692</v>
      </c>
      <c r="E23" s="122" t="s">
        <v>693</v>
      </c>
      <c r="F23" s="122" t="s">
        <v>694</v>
      </c>
      <c r="G23" s="122" t="s">
        <v>695</v>
      </c>
      <c r="H23" s="122" t="s">
        <v>696</v>
      </c>
      <c r="I23" s="122" t="s">
        <v>705</v>
      </c>
      <c r="J23" s="122" t="s">
        <v>706</v>
      </c>
      <c r="K23" s="122" t="s">
        <v>839</v>
      </c>
    </row>
    <row r="24" spans="1:11" ht="12.75">
      <c r="A24" s="118" t="s">
        <v>689</v>
      </c>
      <c r="B24" s="217">
        <f>B3-70</f>
        <v>668.85</v>
      </c>
      <c r="C24" s="217">
        <f>C3-60</f>
        <v>434.98</v>
      </c>
      <c r="D24" s="217"/>
      <c r="E24" s="217"/>
      <c r="F24" s="217"/>
      <c r="G24" s="217"/>
      <c r="H24" s="217"/>
      <c r="I24" s="217"/>
      <c r="J24" s="217"/>
      <c r="K24" s="217">
        <f>SUM(B24:J24)</f>
        <v>1103.83</v>
      </c>
    </row>
    <row r="25" spans="1:11" ht="12.75">
      <c r="A25" s="118" t="s">
        <v>697</v>
      </c>
      <c r="B25" s="217"/>
      <c r="C25" s="217">
        <v>214.171</v>
      </c>
      <c r="D25" s="217">
        <v>1300</v>
      </c>
      <c r="E25" s="217">
        <f>('SDR Cost Estimate (FY08)'!Q108-C25-D25/B19)*B19^E18</f>
        <v>1190.5032298894535</v>
      </c>
      <c r="F25" s="217"/>
      <c r="G25" s="217"/>
      <c r="H25" s="217"/>
      <c r="I25" s="217"/>
      <c r="J25" s="217"/>
      <c r="K25" s="217">
        <f>SUM(B25:J25)</f>
        <v>2704.6742298894533</v>
      </c>
    </row>
    <row r="26" spans="1:11" ht="12.75">
      <c r="A26" s="118" t="s">
        <v>698</v>
      </c>
      <c r="B26" s="217"/>
      <c r="C26" s="217"/>
      <c r="D26" s="217"/>
      <c r="E26" s="217">
        <v>1600</v>
      </c>
      <c r="F26" s="217">
        <v>3000</v>
      </c>
      <c r="G26" s="217">
        <f>('SDR Cost Estimate (FY08)'!AB108-E26/B19^E18-F26/B19^F18)*B19^E18</f>
        <v>1410.248411736346</v>
      </c>
      <c r="H26" s="217"/>
      <c r="I26" s="217"/>
      <c r="J26" s="217"/>
      <c r="K26" s="217">
        <f>SUM(B26:J26)</f>
        <v>6010.248411736346</v>
      </c>
    </row>
    <row r="27" spans="1:11" ht="12.75">
      <c r="A27" s="118" t="s">
        <v>699</v>
      </c>
      <c r="B27" s="217"/>
      <c r="C27" s="217"/>
      <c r="D27" s="217"/>
      <c r="E27" s="217"/>
      <c r="F27" s="217"/>
      <c r="G27" s="217">
        <f>('SDR Cost Estimate (FY08)'!AM108)*0.25*B19^G18</f>
        <v>1624.008645305387</v>
      </c>
      <c r="H27" s="217">
        <f>('SDR Cost Estimate (FY08)'!AM108)*0.45*B19^H18</f>
        <v>3025.528106203936</v>
      </c>
      <c r="I27" s="217">
        <f>('SDR Cost Estimate (FY08)'!AM108)*0.3*B19^I18</f>
        <v>2087.614393280716</v>
      </c>
      <c r="J27" s="217"/>
      <c r="K27" s="217">
        <f>SUM(B27:J27)</f>
        <v>6737.151144790039</v>
      </c>
    </row>
    <row r="28" spans="1:11" ht="12.75">
      <c r="A28" s="118" t="s">
        <v>700</v>
      </c>
      <c r="B28" s="217"/>
      <c r="C28" s="217"/>
      <c r="D28" s="217"/>
      <c r="E28" s="217"/>
      <c r="F28" s="217"/>
      <c r="G28" s="217"/>
      <c r="H28" s="217"/>
      <c r="I28" s="217">
        <f>('SDR Cost Estimate (FY08)'!AX108)*0.35*B19^I18</f>
        <v>983.7740118242157</v>
      </c>
      <c r="J28" s="217">
        <f>('SDR Cost Estimate (FY08)'!AX108)*0.65*B19^J18</f>
        <v>1890.9541898706889</v>
      </c>
      <c r="K28" s="217">
        <f>SUM(B28:J28)</f>
        <v>2874.728201694905</v>
      </c>
    </row>
    <row r="29" spans="1:11" ht="12.75">
      <c r="A29" s="218" t="s">
        <v>712</v>
      </c>
      <c r="B29" s="217">
        <f aca="true" t="shared" si="4" ref="B29:K29">SUM(B24:B28)</f>
        <v>668.85</v>
      </c>
      <c r="C29" s="217">
        <f t="shared" si="4"/>
        <v>649.1510000000001</v>
      </c>
      <c r="D29" s="217">
        <f t="shared" si="4"/>
        <v>1300</v>
      </c>
      <c r="E29" s="217">
        <f t="shared" si="4"/>
        <v>2790.5032298894535</v>
      </c>
      <c r="F29" s="217">
        <f t="shared" si="4"/>
        <v>3000</v>
      </c>
      <c r="G29" s="217">
        <f t="shared" si="4"/>
        <v>3034.257057041733</v>
      </c>
      <c r="H29" s="217">
        <f t="shared" si="4"/>
        <v>3025.528106203936</v>
      </c>
      <c r="I29" s="217">
        <f t="shared" si="4"/>
        <v>3071.3884051049317</v>
      </c>
      <c r="J29" s="217">
        <f t="shared" si="4"/>
        <v>1890.9541898706889</v>
      </c>
      <c r="K29" s="219">
        <f t="shared" si="4"/>
        <v>19430.63198811074</v>
      </c>
    </row>
    <row r="31" spans="1:11" ht="12.75">
      <c r="A31" s="118"/>
      <c r="B31" s="289" t="s">
        <v>715</v>
      </c>
      <c r="C31" s="289"/>
      <c r="D31" s="289" t="s">
        <v>405</v>
      </c>
      <c r="E31" s="289"/>
      <c r="F31" s="289"/>
      <c r="G31" s="289"/>
      <c r="H31" s="289"/>
      <c r="I31" s="289"/>
      <c r="J31" s="289"/>
      <c r="K31" s="118"/>
    </row>
    <row r="32" spans="1:11" ht="12.75">
      <c r="A32" s="122" t="s">
        <v>708</v>
      </c>
      <c r="B32" s="122" t="s">
        <v>690</v>
      </c>
      <c r="C32" s="122" t="s">
        <v>691</v>
      </c>
      <c r="D32" s="122" t="s">
        <v>692</v>
      </c>
      <c r="E32" s="122" t="s">
        <v>693</v>
      </c>
      <c r="F32" s="122" t="s">
        <v>694</v>
      </c>
      <c r="G32" s="122" t="s">
        <v>695</v>
      </c>
      <c r="H32" s="122" t="s">
        <v>696</v>
      </c>
      <c r="I32" s="122" t="s">
        <v>705</v>
      </c>
      <c r="J32" s="122" t="s">
        <v>706</v>
      </c>
      <c r="K32" s="122" t="s">
        <v>839</v>
      </c>
    </row>
    <row r="33" spans="1:11" ht="12.75">
      <c r="A33" s="118" t="s">
        <v>689</v>
      </c>
      <c r="B33" s="217">
        <f>B12-70</f>
        <v>-70</v>
      </c>
      <c r="C33" s="217">
        <f>C12-60</f>
        <v>-60</v>
      </c>
      <c r="D33" s="217"/>
      <c r="E33" s="217"/>
      <c r="F33" s="217"/>
      <c r="G33" s="217"/>
      <c r="H33" s="217"/>
      <c r="I33" s="217"/>
      <c r="J33" s="217"/>
      <c r="K33" s="217">
        <f>SUM(B33:J33)</f>
        <v>-130</v>
      </c>
    </row>
    <row r="34" spans="1:11" ht="12.75">
      <c r="A34" s="118" t="s">
        <v>697</v>
      </c>
      <c r="B34" s="217"/>
      <c r="C34" s="217">
        <v>214.171</v>
      </c>
      <c r="D34" s="217">
        <v>1300</v>
      </c>
      <c r="E34" s="217" t="e">
        <f>('SDR Cost Estimate (FY08)'!Q117-C34-D34/B28)*B28^E27</f>
        <v>#DIV/0!</v>
      </c>
      <c r="F34" s="217"/>
      <c r="G34" s="217"/>
      <c r="H34" s="217"/>
      <c r="I34" s="217"/>
      <c r="J34" s="217"/>
      <c r="K34" s="217" t="e">
        <f>SUM(B34:J34)</f>
        <v>#DIV/0!</v>
      </c>
    </row>
    <row r="35" spans="1:11" ht="12.75">
      <c r="A35" s="118" t="s">
        <v>698</v>
      </c>
      <c r="B35" s="217"/>
      <c r="C35" s="217"/>
      <c r="D35" s="217"/>
      <c r="E35" s="217">
        <v>1600</v>
      </c>
      <c r="F35" s="217">
        <v>3000</v>
      </c>
      <c r="G35" s="217" t="e">
        <f>('SDR Cost Estimate (FY08)'!AB117-E35/B28^E27-F35/B28^F27)*B28^E27</f>
        <v>#NUM!</v>
      </c>
      <c r="H35" s="217"/>
      <c r="I35" s="217"/>
      <c r="J35" s="217"/>
      <c r="K35" s="217" t="e">
        <f>SUM(B35:J35)</f>
        <v>#NUM!</v>
      </c>
    </row>
    <row r="36" spans="1:11" ht="12.75">
      <c r="A36" s="118" t="s">
        <v>699</v>
      </c>
      <c r="B36" s="217"/>
      <c r="C36" s="217"/>
      <c r="D36" s="217"/>
      <c r="E36" s="217"/>
      <c r="F36" s="217"/>
      <c r="G36" s="217">
        <f>('SDR Cost Estimate (FY08)'!AJ108)*0.25</f>
        <v>22019.125</v>
      </c>
      <c r="H36" s="217">
        <f>('SDR Cost Estimate (FY08)'!AJ108)*0.45</f>
        <v>39634.425</v>
      </c>
      <c r="I36" s="217">
        <f>('SDR Cost Estimate (FY08)'!AJ108)*0.3</f>
        <v>26422.95</v>
      </c>
      <c r="J36" s="217"/>
      <c r="K36" s="217">
        <f>SUM(B36:J36)</f>
        <v>88076.5</v>
      </c>
    </row>
    <row r="37" spans="1:11" ht="12.75">
      <c r="A37" s="118" t="s">
        <v>700</v>
      </c>
      <c r="B37" s="217"/>
      <c r="C37" s="217"/>
      <c r="D37" s="217"/>
      <c r="E37" s="217"/>
      <c r="F37" s="217"/>
      <c r="G37" s="217"/>
      <c r="H37" s="217"/>
      <c r="I37" s="217">
        <f>('SDR Cost Estimate (FY08)'!AU108)*0.35</f>
        <v>11960.9</v>
      </c>
      <c r="J37" s="217">
        <f>('SDR Cost Estimate (FY08)'!AU108)*0.65</f>
        <v>22213.100000000002</v>
      </c>
      <c r="K37" s="217">
        <f>SUM(B37:J37)</f>
        <v>34174</v>
      </c>
    </row>
    <row r="38" spans="1:11" ht="12.75">
      <c r="A38" s="218" t="s">
        <v>712</v>
      </c>
      <c r="B38" s="217">
        <f aca="true" t="shared" si="5" ref="B38:K38">SUM(B33:B37)</f>
        <v>-70</v>
      </c>
      <c r="C38" s="217">
        <f t="shared" si="5"/>
        <v>154.171</v>
      </c>
      <c r="D38" s="217">
        <f t="shared" si="5"/>
        <v>1300</v>
      </c>
      <c r="E38" s="217" t="e">
        <f t="shared" si="5"/>
        <v>#DIV/0!</v>
      </c>
      <c r="F38" s="217">
        <f t="shared" si="5"/>
        <v>3000</v>
      </c>
      <c r="G38" s="217" t="e">
        <f t="shared" si="5"/>
        <v>#NUM!</v>
      </c>
      <c r="H38" s="217">
        <f t="shared" si="5"/>
        <v>39634.425</v>
      </c>
      <c r="I38" s="217">
        <f t="shared" si="5"/>
        <v>38383.85</v>
      </c>
      <c r="J38" s="217">
        <f t="shared" si="5"/>
        <v>22213.100000000002</v>
      </c>
      <c r="K38" s="219" t="e">
        <f t="shared" si="5"/>
        <v>#DIV/0!</v>
      </c>
    </row>
  </sheetData>
  <mergeCells count="6">
    <mergeCell ref="B31:C31"/>
    <mergeCell ref="D31:J31"/>
    <mergeCell ref="D1:J1"/>
    <mergeCell ref="B1:C1"/>
    <mergeCell ref="B22:C22"/>
    <mergeCell ref="D22:J22"/>
  </mergeCells>
  <printOptions gridLines="1"/>
  <pageMargins left="0.61" right="0.38" top="0.69" bottom="0.36" header="0.5" footer="0.26"/>
  <pageSetup horizontalDpi="600" verticalDpi="600" orientation="landscape" r:id="rId4"/>
  <headerFooter alignWithMargins="0">
    <oddFooter>&amp;L&amp;F&amp;R&amp;A</oddFooter>
  </headerFooter>
  <drawing r:id="rId3"/>
  <legacyDrawing r:id="rId2"/>
</worksheet>
</file>

<file path=xl/worksheets/sheet6.xml><?xml version="1.0" encoding="utf-8"?>
<worksheet xmlns="http://schemas.openxmlformats.org/spreadsheetml/2006/main" xmlns:r="http://schemas.openxmlformats.org/officeDocument/2006/relationships">
  <dimension ref="A1:E192"/>
  <sheetViews>
    <sheetView workbookViewId="0" topLeftCell="A38">
      <selection activeCell="C38" sqref="C38"/>
    </sheetView>
  </sheetViews>
  <sheetFormatPr defaultColWidth="9.140625" defaultRowHeight="12.75"/>
  <cols>
    <col min="1" max="1" width="6.140625" style="35" customWidth="1"/>
    <col min="2" max="4" width="25.7109375" style="35" customWidth="1"/>
    <col min="5" max="5" width="20.57421875" style="2" customWidth="1"/>
  </cols>
  <sheetData>
    <row r="1" spans="1:5" ht="31.5">
      <c r="A1" s="30" t="s">
        <v>572</v>
      </c>
      <c r="B1" s="30" t="s">
        <v>573</v>
      </c>
      <c r="C1" s="30" t="s">
        <v>574</v>
      </c>
      <c r="D1" s="30" t="s">
        <v>575</v>
      </c>
      <c r="E1" s="47" t="s">
        <v>447</v>
      </c>
    </row>
    <row r="2" spans="1:4" ht="15.75">
      <c r="A2" s="30"/>
      <c r="B2" s="30"/>
      <c r="C2" s="30"/>
      <c r="D2" s="30"/>
    </row>
    <row r="3" spans="1:5" ht="21" customHeight="1">
      <c r="A3" s="31">
        <v>1</v>
      </c>
      <c r="B3" s="51" t="s">
        <v>431</v>
      </c>
      <c r="C3" s="30"/>
      <c r="D3" s="52" t="s">
        <v>430</v>
      </c>
      <c r="E3" s="49"/>
    </row>
    <row r="4" spans="1:5" ht="157.5">
      <c r="A4" s="32">
        <v>1.1</v>
      </c>
      <c r="B4" s="33" t="s">
        <v>576</v>
      </c>
      <c r="C4" s="34" t="s">
        <v>1054</v>
      </c>
      <c r="D4" s="32"/>
      <c r="E4" s="2" t="s">
        <v>410</v>
      </c>
    </row>
    <row r="5" spans="1:5" ht="110.25">
      <c r="A5" s="32">
        <v>1.2</v>
      </c>
      <c r="B5" s="33" t="s">
        <v>578</v>
      </c>
      <c r="C5" s="32" t="s">
        <v>577</v>
      </c>
      <c r="D5" s="34" t="s">
        <v>553</v>
      </c>
      <c r="E5" s="2" t="s">
        <v>411</v>
      </c>
    </row>
    <row r="6" spans="1:5" ht="126">
      <c r="A6" s="32">
        <v>1.3</v>
      </c>
      <c r="B6" s="34" t="s">
        <v>1044</v>
      </c>
      <c r="C6" s="32" t="s">
        <v>1045</v>
      </c>
      <c r="D6" s="32" t="s">
        <v>428</v>
      </c>
      <c r="E6" s="2" t="s">
        <v>429</v>
      </c>
    </row>
    <row r="7" spans="1:5" ht="47.25">
      <c r="A7" s="32">
        <v>1.4</v>
      </c>
      <c r="B7" s="34" t="s">
        <v>1047</v>
      </c>
      <c r="C7" s="32"/>
      <c r="D7" s="32" t="s">
        <v>554</v>
      </c>
      <c r="E7" s="2" t="s">
        <v>373</v>
      </c>
    </row>
    <row r="8" spans="1:5" ht="47.25">
      <c r="A8" s="32">
        <v>1.5</v>
      </c>
      <c r="B8" s="34" t="s">
        <v>1046</v>
      </c>
      <c r="C8" s="32" t="s">
        <v>555</v>
      </c>
      <c r="D8" s="32" t="s">
        <v>556</v>
      </c>
      <c r="E8" s="2" t="s">
        <v>433</v>
      </c>
    </row>
    <row r="9" spans="1:5" ht="94.5">
      <c r="A9" s="32">
        <v>1.6</v>
      </c>
      <c r="B9" s="34" t="s">
        <v>1048</v>
      </c>
      <c r="C9" s="34" t="s">
        <v>557</v>
      </c>
      <c r="D9" s="32" t="s">
        <v>558</v>
      </c>
      <c r="E9" s="2" t="s">
        <v>434</v>
      </c>
    </row>
    <row r="10" spans="1:4" ht="47.25">
      <c r="A10" s="32">
        <v>1.7</v>
      </c>
      <c r="B10" s="34" t="s">
        <v>559</v>
      </c>
      <c r="C10" s="32" t="s">
        <v>560</v>
      </c>
      <c r="D10" s="32"/>
    </row>
    <row r="11" spans="1:5" ht="94.5">
      <c r="A11" s="32">
        <v>1.8</v>
      </c>
      <c r="B11" s="34" t="s">
        <v>1049</v>
      </c>
      <c r="C11" s="34" t="s">
        <v>561</v>
      </c>
      <c r="D11" s="32" t="s">
        <v>562</v>
      </c>
      <c r="E11" s="2" t="s">
        <v>435</v>
      </c>
    </row>
    <row r="12" spans="1:4" ht="94.5">
      <c r="A12" s="32">
        <v>1.9</v>
      </c>
      <c r="B12" s="34" t="s">
        <v>1050</v>
      </c>
      <c r="C12" s="32" t="s">
        <v>563</v>
      </c>
      <c r="D12" s="32"/>
    </row>
    <row r="13" spans="1:4" ht="141.75">
      <c r="A13" s="36" t="s">
        <v>1051</v>
      </c>
      <c r="B13" s="34" t="s">
        <v>564</v>
      </c>
      <c r="C13" s="34" t="s">
        <v>565</v>
      </c>
      <c r="D13" s="32"/>
    </row>
    <row r="14" spans="1:5" ht="94.5">
      <c r="A14" s="37">
        <v>1.11</v>
      </c>
      <c r="B14" s="34" t="s">
        <v>1052</v>
      </c>
      <c r="C14" s="34" t="s">
        <v>566</v>
      </c>
      <c r="D14" s="32"/>
      <c r="E14" s="2" t="s">
        <v>436</v>
      </c>
    </row>
    <row r="15" spans="1:4" ht="47.25">
      <c r="A15" s="37">
        <v>1.12</v>
      </c>
      <c r="B15" s="34" t="s">
        <v>567</v>
      </c>
      <c r="C15" s="32"/>
      <c r="D15" s="32"/>
    </row>
    <row r="16" spans="1:4" ht="47.25">
      <c r="A16" s="37">
        <v>1.13</v>
      </c>
      <c r="B16" s="34" t="s">
        <v>568</v>
      </c>
      <c r="C16" s="32"/>
      <c r="D16" s="32"/>
    </row>
    <row r="17" spans="1:4" ht="31.5">
      <c r="A17" s="37">
        <v>1.14</v>
      </c>
      <c r="B17" s="34" t="s">
        <v>569</v>
      </c>
      <c r="C17" s="32"/>
      <c r="D17" s="32"/>
    </row>
    <row r="18" spans="1:4" ht="78.75">
      <c r="A18" s="37">
        <v>1.15</v>
      </c>
      <c r="B18" s="34" t="s">
        <v>570</v>
      </c>
      <c r="C18" s="32"/>
      <c r="D18" s="32"/>
    </row>
    <row r="19" spans="1:5" ht="63">
      <c r="A19" s="37">
        <v>1.16</v>
      </c>
      <c r="B19" s="34" t="s">
        <v>1053</v>
      </c>
      <c r="C19" s="32"/>
      <c r="D19" s="32"/>
      <c r="E19" s="2" t="s">
        <v>437</v>
      </c>
    </row>
    <row r="20" spans="1:4" ht="15.75">
      <c r="A20" s="37"/>
      <c r="B20" s="34"/>
      <c r="C20" s="32"/>
      <c r="D20" s="32"/>
    </row>
    <row r="21" spans="1:5" s="38" customFormat="1" ht="15.75">
      <c r="A21" s="62">
        <v>2</v>
      </c>
      <c r="B21" s="51" t="s">
        <v>1055</v>
      </c>
      <c r="C21" s="4"/>
      <c r="D21" s="52" t="s">
        <v>413</v>
      </c>
      <c r="E21" s="48"/>
    </row>
    <row r="22" spans="1:4" ht="63">
      <c r="A22" s="39">
        <v>2.1</v>
      </c>
      <c r="B22" s="39" t="s">
        <v>39</v>
      </c>
      <c r="C22" s="39"/>
      <c r="D22" s="39"/>
    </row>
    <row r="23" spans="1:5" ht="47.25">
      <c r="A23" s="39">
        <v>2.2</v>
      </c>
      <c r="B23" s="39" t="s">
        <v>40</v>
      </c>
      <c r="C23" s="39"/>
      <c r="D23" s="39"/>
      <c r="E23" s="2" t="s">
        <v>438</v>
      </c>
    </row>
    <row r="24" spans="1:5" ht="110.25">
      <c r="A24" s="39">
        <v>2.3</v>
      </c>
      <c r="B24" s="39" t="s">
        <v>41</v>
      </c>
      <c r="C24" s="39" t="s">
        <v>1057</v>
      </c>
      <c r="D24" s="39" t="s">
        <v>1058</v>
      </c>
      <c r="E24" s="2" t="s">
        <v>439</v>
      </c>
    </row>
    <row r="25" spans="1:5" ht="94.5">
      <c r="A25" s="39">
        <v>2.4</v>
      </c>
      <c r="B25" s="39" t="s">
        <v>42</v>
      </c>
      <c r="C25" s="39"/>
      <c r="D25" s="39" t="s">
        <v>34</v>
      </c>
      <c r="E25" s="2" t="s">
        <v>440</v>
      </c>
    </row>
    <row r="26" spans="1:4" ht="141.75">
      <c r="A26" s="39">
        <v>2.5</v>
      </c>
      <c r="B26" s="39" t="s">
        <v>43</v>
      </c>
      <c r="C26" s="39" t="s">
        <v>35</v>
      </c>
      <c r="D26" s="39" t="s">
        <v>36</v>
      </c>
    </row>
    <row r="27" spans="1:4" ht="94.5">
      <c r="A27" s="39">
        <v>2.6</v>
      </c>
      <c r="B27" s="39" t="s">
        <v>37</v>
      </c>
      <c r="C27" s="39"/>
      <c r="D27" s="39"/>
    </row>
    <row r="28" spans="1:4" ht="31.5">
      <c r="A28" s="39">
        <v>2.7</v>
      </c>
      <c r="B28" s="39" t="s">
        <v>38</v>
      </c>
      <c r="C28" s="39"/>
      <c r="D28" s="39"/>
    </row>
    <row r="30" spans="1:4" ht="15.75">
      <c r="A30" s="61" t="s">
        <v>600</v>
      </c>
      <c r="B30" s="50" t="s">
        <v>599</v>
      </c>
      <c r="C30" s="40"/>
      <c r="D30" s="52" t="s">
        <v>414</v>
      </c>
    </row>
    <row r="31" spans="1:5" ht="267.75">
      <c r="A31" s="34" t="s">
        <v>44</v>
      </c>
      <c r="B31" s="33" t="s">
        <v>53</v>
      </c>
      <c r="C31" s="34" t="s">
        <v>594</v>
      </c>
      <c r="D31" s="34" t="s">
        <v>54</v>
      </c>
      <c r="E31" s="2" t="s">
        <v>441</v>
      </c>
    </row>
    <row r="32" spans="1:4" ht="47.25">
      <c r="A32" s="34" t="s">
        <v>45</v>
      </c>
      <c r="B32" s="34" t="s">
        <v>595</v>
      </c>
      <c r="C32" s="34" t="s">
        <v>46</v>
      </c>
      <c r="D32" s="34"/>
    </row>
    <row r="33" spans="1:5" ht="31.5">
      <c r="A33" s="34" t="s">
        <v>47</v>
      </c>
      <c r="B33" s="34" t="s">
        <v>596</v>
      </c>
      <c r="C33" s="34" t="s">
        <v>48</v>
      </c>
      <c r="D33" s="34"/>
      <c r="E33" s="2" t="s">
        <v>442</v>
      </c>
    </row>
    <row r="34" spans="1:4" ht="94.5">
      <c r="A34" s="34" t="s">
        <v>49</v>
      </c>
      <c r="B34" s="34" t="s">
        <v>597</v>
      </c>
      <c r="C34" s="34"/>
      <c r="D34" s="34"/>
    </row>
    <row r="35" spans="1:4" ht="94.5">
      <c r="A35" s="34" t="s">
        <v>50</v>
      </c>
      <c r="B35" s="34" t="s">
        <v>51</v>
      </c>
      <c r="C35" s="34"/>
      <c r="D35" s="34"/>
    </row>
    <row r="36" spans="1:5" ht="94.5">
      <c r="A36" s="34" t="s">
        <v>52</v>
      </c>
      <c r="B36" s="34" t="s">
        <v>598</v>
      </c>
      <c r="C36" s="34"/>
      <c r="D36" s="34"/>
      <c r="E36" s="2" t="s">
        <v>443</v>
      </c>
    </row>
    <row r="37" spans="1:4" ht="15.75">
      <c r="A37" s="34"/>
      <c r="B37" s="34"/>
      <c r="C37" s="34"/>
      <c r="D37" s="34"/>
    </row>
    <row r="38" spans="1:5" s="57" customFormat="1" ht="15.75">
      <c r="A38" s="61" t="s">
        <v>601</v>
      </c>
      <c r="B38" s="50" t="s">
        <v>602</v>
      </c>
      <c r="C38" s="55"/>
      <c r="D38" s="52" t="s">
        <v>412</v>
      </c>
      <c r="E38" s="56"/>
    </row>
    <row r="39" spans="1:5" ht="110.25">
      <c r="A39" s="32" t="s">
        <v>603</v>
      </c>
      <c r="B39" s="33" t="s">
        <v>740</v>
      </c>
      <c r="C39" s="34" t="s">
        <v>738</v>
      </c>
      <c r="D39" s="34" t="s">
        <v>739</v>
      </c>
      <c r="E39" s="2" t="s">
        <v>371</v>
      </c>
    </row>
    <row r="40" spans="1:4" ht="31.5">
      <c r="A40" s="32" t="s">
        <v>604</v>
      </c>
      <c r="B40" s="34" t="s">
        <v>741</v>
      </c>
      <c r="C40" s="34" t="s">
        <v>605</v>
      </c>
      <c r="D40" s="32"/>
    </row>
    <row r="41" spans="1:5" ht="78.75">
      <c r="A41" s="32" t="s">
        <v>606</v>
      </c>
      <c r="B41" s="34" t="s">
        <v>742</v>
      </c>
      <c r="C41" s="34"/>
      <c r="D41" s="32" t="s">
        <v>607</v>
      </c>
      <c r="E41" s="2" t="s">
        <v>374</v>
      </c>
    </row>
    <row r="42" spans="1:5" ht="31.5">
      <c r="A42" s="32" t="s">
        <v>608</v>
      </c>
      <c r="B42" s="34" t="s">
        <v>743</v>
      </c>
      <c r="C42" s="34"/>
      <c r="D42" s="32" t="s">
        <v>609</v>
      </c>
      <c r="E42" s="2" t="s">
        <v>375</v>
      </c>
    </row>
    <row r="43" spans="1:4" ht="94.5">
      <c r="A43" s="32" t="s">
        <v>610</v>
      </c>
      <c r="B43" s="34" t="s">
        <v>51</v>
      </c>
      <c r="C43" s="34"/>
      <c r="D43" s="32"/>
    </row>
    <row r="44" spans="1:4" ht="63">
      <c r="A44" s="32" t="s">
        <v>611</v>
      </c>
      <c r="B44" s="34" t="s">
        <v>744</v>
      </c>
      <c r="C44" s="34"/>
      <c r="D44" s="32"/>
    </row>
    <row r="46" spans="1:5" s="60" customFormat="1" ht="15.75">
      <c r="A46" s="58">
        <v>4</v>
      </c>
      <c r="B46" s="53" t="s">
        <v>745</v>
      </c>
      <c r="C46" s="58"/>
      <c r="D46" s="52" t="s">
        <v>378</v>
      </c>
      <c r="E46" s="59"/>
    </row>
    <row r="47" spans="1:4" ht="141.75">
      <c r="A47" s="34">
        <v>4.1</v>
      </c>
      <c r="B47" s="34" t="s">
        <v>825</v>
      </c>
      <c r="C47" s="34" t="s">
        <v>746</v>
      </c>
      <c r="D47" s="34" t="s">
        <v>753</v>
      </c>
    </row>
    <row r="48" spans="1:4" ht="141.75">
      <c r="A48" s="34">
        <v>4.2</v>
      </c>
      <c r="B48" s="34" t="s">
        <v>829</v>
      </c>
      <c r="C48" s="34" t="s">
        <v>754</v>
      </c>
      <c r="D48" s="34" t="s">
        <v>830</v>
      </c>
    </row>
    <row r="49" spans="1:4" ht="220.5">
      <c r="A49" s="34">
        <v>4.3</v>
      </c>
      <c r="B49" s="34" t="s">
        <v>755</v>
      </c>
      <c r="C49" s="34" t="s">
        <v>756</v>
      </c>
      <c r="D49" s="34" t="s">
        <v>831</v>
      </c>
    </row>
    <row r="50" spans="1:5" ht="223.5" customHeight="1">
      <c r="A50" s="34">
        <v>4.4</v>
      </c>
      <c r="B50" s="34" t="s">
        <v>832</v>
      </c>
      <c r="C50" s="34" t="s">
        <v>757</v>
      </c>
      <c r="D50" s="34" t="s">
        <v>833</v>
      </c>
      <c r="E50" s="2" t="s">
        <v>376</v>
      </c>
    </row>
    <row r="51" spans="1:5" ht="346.5">
      <c r="A51" s="34">
        <v>4.5</v>
      </c>
      <c r="B51" s="34" t="s">
        <v>834</v>
      </c>
      <c r="C51" s="34" t="s">
        <v>758</v>
      </c>
      <c r="D51" s="34" t="s">
        <v>835</v>
      </c>
      <c r="E51" s="2" t="s">
        <v>432</v>
      </c>
    </row>
    <row r="52" spans="1:4" ht="267.75">
      <c r="A52" s="34">
        <v>4.6</v>
      </c>
      <c r="B52" s="34" t="s">
        <v>836</v>
      </c>
      <c r="C52" s="34" t="s">
        <v>759</v>
      </c>
      <c r="D52" s="34" t="s">
        <v>760</v>
      </c>
    </row>
    <row r="53" spans="1:4" ht="141.75">
      <c r="A53" s="34">
        <v>4.7</v>
      </c>
      <c r="B53" s="33" t="s">
        <v>381</v>
      </c>
      <c r="C53" s="34" t="s">
        <v>145</v>
      </c>
      <c r="D53" s="34"/>
    </row>
    <row r="54" spans="1:4" ht="204.75">
      <c r="A54" s="34">
        <v>4.8</v>
      </c>
      <c r="B54" s="34" t="s">
        <v>382</v>
      </c>
      <c r="C54" s="34" t="s">
        <v>146</v>
      </c>
      <c r="D54" s="34" t="s">
        <v>147</v>
      </c>
    </row>
    <row r="55" spans="1:4" ht="267.75">
      <c r="A55" s="34">
        <v>4.9</v>
      </c>
      <c r="B55" s="34" t="s">
        <v>385</v>
      </c>
      <c r="C55" s="34" t="s">
        <v>383</v>
      </c>
      <c r="D55" s="34" t="s">
        <v>384</v>
      </c>
    </row>
    <row r="56" spans="1:4" ht="220.5">
      <c r="A56" s="43" t="s">
        <v>386</v>
      </c>
      <c r="B56" s="34" t="s">
        <v>387</v>
      </c>
      <c r="C56" s="34" t="s">
        <v>388</v>
      </c>
      <c r="D56" s="34"/>
    </row>
    <row r="57" spans="1:5" ht="94.5">
      <c r="A57" s="42">
        <v>4.11</v>
      </c>
      <c r="B57" s="34" t="s">
        <v>389</v>
      </c>
      <c r="C57" s="34" t="s">
        <v>148</v>
      </c>
      <c r="D57" s="34" t="s">
        <v>149</v>
      </c>
      <c r="E57" s="2" t="s">
        <v>377</v>
      </c>
    </row>
    <row r="58" spans="1:5" ht="126">
      <c r="A58" s="42">
        <v>4.12</v>
      </c>
      <c r="B58" s="34" t="s">
        <v>150</v>
      </c>
      <c r="C58" s="34" t="s">
        <v>151</v>
      </c>
      <c r="D58" s="34" t="s">
        <v>152</v>
      </c>
      <c r="E58" s="2" t="s">
        <v>762</v>
      </c>
    </row>
    <row r="59" spans="1:4" ht="63">
      <c r="A59" s="42">
        <v>4.13</v>
      </c>
      <c r="B59" s="34" t="s">
        <v>390</v>
      </c>
      <c r="C59" s="34"/>
      <c r="D59" s="34" t="s">
        <v>153</v>
      </c>
    </row>
    <row r="60" spans="1:5" ht="157.5">
      <c r="A60" s="42">
        <v>4.14</v>
      </c>
      <c r="B60" s="34" t="s">
        <v>391</v>
      </c>
      <c r="C60" s="34"/>
      <c r="D60" s="34" t="s">
        <v>392</v>
      </c>
      <c r="E60" s="2" t="s">
        <v>380</v>
      </c>
    </row>
    <row r="61" spans="1:5" ht="204.75">
      <c r="A61" s="42">
        <v>4.15</v>
      </c>
      <c r="B61" s="34" t="s">
        <v>393</v>
      </c>
      <c r="C61" s="34" t="s">
        <v>679</v>
      </c>
      <c r="D61" s="34"/>
      <c r="E61" s="2" t="s">
        <v>379</v>
      </c>
    </row>
    <row r="62" spans="1:4" ht="63">
      <c r="A62" s="42">
        <v>4.16</v>
      </c>
      <c r="B62" s="34" t="s">
        <v>680</v>
      </c>
      <c r="C62" s="34"/>
      <c r="D62" s="34"/>
    </row>
    <row r="64" spans="1:5" s="60" customFormat="1" ht="15.75">
      <c r="A64" s="54">
        <v>5</v>
      </c>
      <c r="B64" s="53" t="s">
        <v>394</v>
      </c>
      <c r="C64" s="58"/>
      <c r="D64" s="52" t="s">
        <v>415</v>
      </c>
      <c r="E64" s="59"/>
    </row>
    <row r="65" spans="1:4" ht="330.75">
      <c r="A65" s="45">
        <v>5.1</v>
      </c>
      <c r="B65" s="46" t="s">
        <v>395</v>
      </c>
      <c r="C65" s="46" t="s">
        <v>396</v>
      </c>
      <c r="D65" s="45" t="s">
        <v>397</v>
      </c>
    </row>
    <row r="66" spans="1:4" ht="141.75">
      <c r="A66" s="45">
        <v>5.2</v>
      </c>
      <c r="B66" s="46" t="s">
        <v>398</v>
      </c>
      <c r="C66" s="46"/>
      <c r="D66" s="46" t="s">
        <v>399</v>
      </c>
    </row>
    <row r="67" spans="1:4" ht="94.5">
      <c r="A67" s="45">
        <v>5.3</v>
      </c>
      <c r="B67" s="46" t="s">
        <v>400</v>
      </c>
      <c r="C67" s="45" t="s">
        <v>401</v>
      </c>
      <c r="D67" s="45"/>
    </row>
    <row r="68" spans="1:4" ht="126">
      <c r="A68" s="45">
        <v>5.4</v>
      </c>
      <c r="B68" s="46" t="s">
        <v>402</v>
      </c>
      <c r="C68" s="46"/>
      <c r="D68" s="46" t="s">
        <v>403</v>
      </c>
    </row>
    <row r="69" spans="1:4" ht="112.5" customHeight="1">
      <c r="A69" s="290">
        <v>5.5</v>
      </c>
      <c r="B69" s="291" t="s">
        <v>1003</v>
      </c>
      <c r="C69" s="291"/>
      <c r="D69" s="291" t="s">
        <v>1004</v>
      </c>
    </row>
    <row r="70" spans="1:4" ht="12.75">
      <c r="A70" s="290"/>
      <c r="B70" s="291"/>
      <c r="C70" s="291"/>
      <c r="D70" s="291"/>
    </row>
    <row r="71" spans="1:4" ht="31.5">
      <c r="A71" s="45">
        <v>5.6</v>
      </c>
      <c r="B71" s="46" t="s">
        <v>1005</v>
      </c>
      <c r="C71" s="46" t="s">
        <v>1006</v>
      </c>
      <c r="D71" s="46" t="s">
        <v>1007</v>
      </c>
    </row>
    <row r="72" spans="1:4" ht="78" customHeight="1">
      <c r="A72" s="45">
        <v>5.7</v>
      </c>
      <c r="B72" s="46" t="s">
        <v>1008</v>
      </c>
      <c r="C72" s="46" t="s">
        <v>761</v>
      </c>
      <c r="D72" s="46"/>
    </row>
    <row r="73" spans="1:5" ht="126">
      <c r="A73" s="45">
        <v>5.8</v>
      </c>
      <c r="B73" s="46" t="s">
        <v>1009</v>
      </c>
      <c r="C73" s="46" t="s">
        <v>1010</v>
      </c>
      <c r="D73" s="46" t="s">
        <v>1011</v>
      </c>
      <c r="E73" s="2" t="s">
        <v>762</v>
      </c>
    </row>
    <row r="74" spans="1:4" ht="110.25">
      <c r="A74" s="45">
        <v>5.9</v>
      </c>
      <c r="B74" s="46" t="s">
        <v>1012</v>
      </c>
      <c r="C74" s="46" t="s">
        <v>1013</v>
      </c>
      <c r="D74" s="45"/>
    </row>
    <row r="76" spans="1:5" s="57" customFormat="1" ht="15.75">
      <c r="A76" s="54">
        <v>6</v>
      </c>
      <c r="B76" s="53" t="s">
        <v>1014</v>
      </c>
      <c r="C76" s="55"/>
      <c r="D76" s="52" t="s">
        <v>415</v>
      </c>
      <c r="E76" s="56"/>
    </row>
    <row r="77" spans="1:4" ht="31.5">
      <c r="A77" s="32">
        <v>6.1</v>
      </c>
      <c r="B77" s="34" t="s">
        <v>1015</v>
      </c>
      <c r="C77" s="34" t="s">
        <v>1016</v>
      </c>
      <c r="D77" s="34" t="s">
        <v>1017</v>
      </c>
    </row>
    <row r="78" spans="1:4" ht="141.75">
      <c r="A78" s="32">
        <v>6.2</v>
      </c>
      <c r="B78" s="34" t="s">
        <v>1018</v>
      </c>
      <c r="C78" s="34"/>
      <c r="D78" s="32" t="s">
        <v>1019</v>
      </c>
    </row>
    <row r="79" spans="1:4" ht="31.5">
      <c r="A79" s="32">
        <v>6.3</v>
      </c>
      <c r="B79" s="33" t="s">
        <v>1020</v>
      </c>
      <c r="C79" s="32" t="s">
        <v>1021</v>
      </c>
      <c r="D79" s="32"/>
    </row>
    <row r="80" spans="1:4" ht="110.25">
      <c r="A80" s="32">
        <v>6.4</v>
      </c>
      <c r="B80" s="34" t="s">
        <v>1022</v>
      </c>
      <c r="C80" s="34" t="s">
        <v>1023</v>
      </c>
      <c r="D80" s="34" t="s">
        <v>1024</v>
      </c>
    </row>
    <row r="81" spans="1:4" ht="141.75">
      <c r="A81" s="32">
        <v>6.5</v>
      </c>
      <c r="B81" s="34" t="s">
        <v>1025</v>
      </c>
      <c r="C81" s="32" t="s">
        <v>1026</v>
      </c>
      <c r="D81" s="32"/>
    </row>
    <row r="82" spans="1:5" ht="110.25">
      <c r="A82" s="32">
        <v>6.6</v>
      </c>
      <c r="B82" s="34" t="s">
        <v>1027</v>
      </c>
      <c r="C82" s="32"/>
      <c r="D82" s="32" t="s">
        <v>1028</v>
      </c>
      <c r="E82" s="2" t="s">
        <v>763</v>
      </c>
    </row>
    <row r="83" spans="1:4" ht="31.5">
      <c r="A83" s="32">
        <v>6.7</v>
      </c>
      <c r="B83" s="34" t="s">
        <v>1029</v>
      </c>
      <c r="C83" s="34"/>
      <c r="D83" s="32" t="s">
        <v>1030</v>
      </c>
    </row>
    <row r="84" spans="1:4" ht="15.75">
      <c r="A84" s="32">
        <v>6.8</v>
      </c>
      <c r="B84" s="34" t="s">
        <v>1031</v>
      </c>
      <c r="C84" s="34" t="s">
        <v>1031</v>
      </c>
      <c r="D84" s="34" t="s">
        <v>1031</v>
      </c>
    </row>
    <row r="85" spans="1:4" ht="15.75">
      <c r="A85" s="32">
        <v>6.9</v>
      </c>
      <c r="B85" s="34" t="s">
        <v>1032</v>
      </c>
      <c r="C85" s="34" t="s">
        <v>1032</v>
      </c>
      <c r="D85" s="34"/>
    </row>
    <row r="86" spans="1:4" ht="15.75">
      <c r="A86" s="36" t="s">
        <v>1037</v>
      </c>
      <c r="B86" s="34" t="s">
        <v>1033</v>
      </c>
      <c r="C86" s="34" t="s">
        <v>1034</v>
      </c>
      <c r="D86" s="34"/>
    </row>
    <row r="87" spans="1:4" ht="47.25">
      <c r="A87" s="37">
        <v>6.11</v>
      </c>
      <c r="B87" s="34" t="s">
        <v>1035</v>
      </c>
      <c r="C87" s="32" t="s">
        <v>1036</v>
      </c>
      <c r="D87" s="32"/>
    </row>
    <row r="89" spans="1:4" ht="15.75">
      <c r="A89" s="44">
        <v>7</v>
      </c>
      <c r="B89" s="41" t="s">
        <v>1038</v>
      </c>
      <c r="D89" s="52" t="s">
        <v>413</v>
      </c>
    </row>
    <row r="90" spans="1:4" ht="63">
      <c r="A90" s="32">
        <v>7.1</v>
      </c>
      <c r="B90" s="32" t="s">
        <v>1056</v>
      </c>
      <c r="C90" s="32" t="s">
        <v>1039</v>
      </c>
      <c r="D90" s="32"/>
    </row>
    <row r="91" spans="1:5" ht="31.5">
      <c r="A91" s="32">
        <v>7.2</v>
      </c>
      <c r="B91" s="32" t="s">
        <v>448</v>
      </c>
      <c r="C91" s="32"/>
      <c r="D91" s="32" t="s">
        <v>449</v>
      </c>
      <c r="E91" s="2" t="s">
        <v>438</v>
      </c>
    </row>
    <row r="92" spans="1:4" ht="141.75">
      <c r="A92" s="32">
        <v>7.3</v>
      </c>
      <c r="B92" s="32" t="s">
        <v>450</v>
      </c>
      <c r="C92" s="32" t="s">
        <v>451</v>
      </c>
      <c r="D92" s="32" t="s">
        <v>452</v>
      </c>
    </row>
    <row r="93" spans="1:5" ht="204.75">
      <c r="A93" s="32">
        <v>7.4</v>
      </c>
      <c r="B93" s="32" t="s">
        <v>453</v>
      </c>
      <c r="C93" s="32" t="s">
        <v>454</v>
      </c>
      <c r="D93" s="32" t="s">
        <v>455</v>
      </c>
      <c r="E93" s="2" t="s">
        <v>665</v>
      </c>
    </row>
    <row r="94" spans="1:4" ht="126">
      <c r="A94" s="32">
        <v>7.5</v>
      </c>
      <c r="B94" s="32" t="s">
        <v>456</v>
      </c>
      <c r="C94" s="32"/>
      <c r="D94" s="32" t="s">
        <v>457</v>
      </c>
    </row>
    <row r="95" spans="1:4" ht="110.25">
      <c r="A95" s="32">
        <v>7.6</v>
      </c>
      <c r="B95" s="32" t="s">
        <v>458</v>
      </c>
      <c r="C95" s="32"/>
      <c r="D95" s="32"/>
    </row>
    <row r="96" spans="1:4" ht="31.5">
      <c r="A96" s="32">
        <v>7.7</v>
      </c>
      <c r="B96" s="32" t="s">
        <v>38</v>
      </c>
      <c r="C96" s="32"/>
      <c r="D96" s="32"/>
    </row>
    <row r="98" spans="1:4" ht="15.75">
      <c r="A98" s="54" t="s">
        <v>485</v>
      </c>
      <c r="B98" s="53" t="s">
        <v>487</v>
      </c>
      <c r="D98" s="52" t="s">
        <v>415</v>
      </c>
    </row>
    <row r="99" spans="1:4" ht="63">
      <c r="A99" s="32" t="s">
        <v>459</v>
      </c>
      <c r="B99" s="32" t="s">
        <v>460</v>
      </c>
      <c r="C99" s="34" t="s">
        <v>461</v>
      </c>
      <c r="D99" s="32"/>
    </row>
    <row r="100" spans="1:4" ht="78.75">
      <c r="A100" s="32" t="s">
        <v>462</v>
      </c>
      <c r="B100" s="32" t="s">
        <v>463</v>
      </c>
      <c r="C100" s="32" t="s">
        <v>464</v>
      </c>
      <c r="D100" s="32" t="s">
        <v>465</v>
      </c>
    </row>
    <row r="101" spans="1:5" ht="94.5">
      <c r="A101" s="32" t="s">
        <v>466</v>
      </c>
      <c r="B101" s="32" t="s">
        <v>467</v>
      </c>
      <c r="C101" s="32"/>
      <c r="D101" s="32"/>
      <c r="E101" s="2" t="s">
        <v>764</v>
      </c>
    </row>
    <row r="102" spans="1:5" ht="141.75">
      <c r="A102" s="32" t="s">
        <v>468</v>
      </c>
      <c r="B102" s="32" t="s">
        <v>469</v>
      </c>
      <c r="C102" s="32" t="s">
        <v>470</v>
      </c>
      <c r="D102" s="32" t="s">
        <v>471</v>
      </c>
      <c r="E102" s="2" t="s">
        <v>767</v>
      </c>
    </row>
    <row r="103" spans="1:5" ht="126">
      <c r="A103" s="32" t="s">
        <v>472</v>
      </c>
      <c r="B103" s="32" t="s">
        <v>473</v>
      </c>
      <c r="C103" s="32"/>
      <c r="D103" s="32"/>
      <c r="E103" s="2" t="s">
        <v>766</v>
      </c>
    </row>
    <row r="104" spans="1:4" ht="63">
      <c r="A104" s="32" t="s">
        <v>474</v>
      </c>
      <c r="B104" s="32" t="s">
        <v>475</v>
      </c>
      <c r="C104" s="32"/>
      <c r="D104" s="32"/>
    </row>
    <row r="105" spans="1:4" ht="31.5">
      <c r="A105" s="32" t="s">
        <v>476</v>
      </c>
      <c r="B105" s="32" t="s">
        <v>477</v>
      </c>
      <c r="C105" s="32"/>
      <c r="D105" s="32"/>
    </row>
    <row r="106" spans="1:5" ht="63">
      <c r="A106" s="32" t="s">
        <v>478</v>
      </c>
      <c r="B106" s="32" t="s">
        <v>479</v>
      </c>
      <c r="C106" s="32"/>
      <c r="D106" s="32"/>
      <c r="E106" s="2" t="s">
        <v>436</v>
      </c>
    </row>
    <row r="107" spans="1:4" ht="126">
      <c r="A107" s="32" t="s">
        <v>480</v>
      </c>
      <c r="B107" s="32" t="s">
        <v>481</v>
      </c>
      <c r="C107" s="32"/>
      <c r="D107" s="32"/>
    </row>
    <row r="108" spans="1:4" ht="78.75">
      <c r="A108" s="32" t="s">
        <v>482</v>
      </c>
      <c r="B108" s="32" t="s">
        <v>570</v>
      </c>
      <c r="C108" s="32"/>
      <c r="D108" s="32"/>
    </row>
    <row r="109" spans="1:5" ht="78.75">
      <c r="A109" s="32" t="s">
        <v>483</v>
      </c>
      <c r="B109" s="32" t="s">
        <v>484</v>
      </c>
      <c r="C109" s="32"/>
      <c r="D109" s="32"/>
      <c r="E109" s="2" t="s">
        <v>765</v>
      </c>
    </row>
    <row r="111" spans="1:5" s="57" customFormat="1" ht="15.75">
      <c r="A111" s="54" t="s">
        <v>141</v>
      </c>
      <c r="B111" s="53" t="s">
        <v>486</v>
      </c>
      <c r="C111" s="55"/>
      <c r="D111" s="52" t="s">
        <v>412</v>
      </c>
      <c r="E111" s="56"/>
    </row>
    <row r="112" spans="1:5" ht="110.25">
      <c r="A112" s="32" t="s">
        <v>488</v>
      </c>
      <c r="B112" s="32" t="s">
        <v>489</v>
      </c>
      <c r="C112" s="34" t="s">
        <v>461</v>
      </c>
      <c r="D112" s="32" t="s">
        <v>612</v>
      </c>
      <c r="E112" s="2" t="s">
        <v>768</v>
      </c>
    </row>
    <row r="113" spans="1:4" ht="141.75">
      <c r="A113" s="32" t="s">
        <v>613</v>
      </c>
      <c r="B113" s="32" t="s">
        <v>614</v>
      </c>
      <c r="C113" s="32" t="s">
        <v>116</v>
      </c>
      <c r="D113" s="32"/>
    </row>
    <row r="114" spans="1:5" ht="94.5">
      <c r="A114" s="32" t="s">
        <v>117</v>
      </c>
      <c r="B114" s="32" t="s">
        <v>118</v>
      </c>
      <c r="C114" s="32"/>
      <c r="D114" s="32"/>
      <c r="E114" s="2" t="s">
        <v>769</v>
      </c>
    </row>
    <row r="115" spans="1:4" ht="63">
      <c r="A115" s="32" t="s">
        <v>119</v>
      </c>
      <c r="B115" s="32" t="s">
        <v>120</v>
      </c>
      <c r="C115" s="32"/>
      <c r="D115" s="32"/>
    </row>
    <row r="116" spans="1:5" ht="31.5">
      <c r="A116" s="32" t="s">
        <v>121</v>
      </c>
      <c r="B116" s="32" t="s">
        <v>122</v>
      </c>
      <c r="C116" s="32"/>
      <c r="D116" s="32"/>
      <c r="E116" s="2" t="s">
        <v>767</v>
      </c>
    </row>
    <row r="117" spans="1:4" ht="63">
      <c r="A117" s="32" t="s">
        <v>123</v>
      </c>
      <c r="B117" s="32" t="s">
        <v>124</v>
      </c>
      <c r="C117" s="32" t="s">
        <v>125</v>
      </c>
      <c r="D117" s="32"/>
    </row>
    <row r="118" spans="1:5" ht="173.25">
      <c r="A118" s="32" t="s">
        <v>126</v>
      </c>
      <c r="B118" s="32" t="s">
        <v>127</v>
      </c>
      <c r="C118" s="32"/>
      <c r="D118" s="32" t="s">
        <v>128</v>
      </c>
      <c r="E118" s="2" t="s">
        <v>770</v>
      </c>
    </row>
    <row r="119" spans="1:4" ht="110.25">
      <c r="A119" s="32" t="s">
        <v>129</v>
      </c>
      <c r="B119" s="32" t="s">
        <v>130</v>
      </c>
      <c r="C119" s="32"/>
      <c r="D119" s="32" t="s">
        <v>131</v>
      </c>
    </row>
    <row r="120" spans="1:4" ht="63">
      <c r="A120" s="32" t="s">
        <v>132</v>
      </c>
      <c r="B120" s="32" t="s">
        <v>475</v>
      </c>
      <c r="C120" s="32"/>
      <c r="D120" s="32"/>
    </row>
    <row r="121" spans="1:4" ht="31.5">
      <c r="A121" s="32" t="s">
        <v>133</v>
      </c>
      <c r="B121" s="32" t="s">
        <v>477</v>
      </c>
      <c r="C121" s="32"/>
      <c r="D121" s="32"/>
    </row>
    <row r="122" spans="1:5" ht="63">
      <c r="A122" s="32" t="s">
        <v>134</v>
      </c>
      <c r="B122" s="32" t="s">
        <v>135</v>
      </c>
      <c r="C122" s="32"/>
      <c r="D122" s="32"/>
      <c r="E122" s="2" t="s">
        <v>436</v>
      </c>
    </row>
    <row r="123" spans="1:4" ht="126">
      <c r="A123" s="32" t="s">
        <v>136</v>
      </c>
      <c r="B123" s="32" t="s">
        <v>137</v>
      </c>
      <c r="C123" s="32"/>
      <c r="D123" s="32"/>
    </row>
    <row r="124" spans="1:4" ht="31.5">
      <c r="A124" s="32" t="s">
        <v>138</v>
      </c>
      <c r="B124" s="32" t="s">
        <v>569</v>
      </c>
      <c r="C124" s="32"/>
      <c r="D124" s="32"/>
    </row>
    <row r="125" spans="1:4" ht="78.75">
      <c r="A125" s="32" t="s">
        <v>139</v>
      </c>
      <c r="B125" s="32" t="s">
        <v>570</v>
      </c>
      <c r="C125" s="32"/>
      <c r="D125" s="32"/>
    </row>
    <row r="126" spans="1:4" ht="47.25">
      <c r="A126" s="32" t="s">
        <v>140</v>
      </c>
      <c r="B126" s="32" t="s">
        <v>571</v>
      </c>
      <c r="C126" s="32"/>
      <c r="D126" s="32"/>
    </row>
    <row r="127" spans="1:4" ht="15.75">
      <c r="A127" s="32"/>
      <c r="B127" s="32"/>
      <c r="C127" s="32"/>
      <c r="D127" s="32"/>
    </row>
    <row r="128" spans="1:4" ht="15.75">
      <c r="A128" s="63" t="s">
        <v>420</v>
      </c>
      <c r="B128" s="292" t="s">
        <v>421</v>
      </c>
      <c r="C128" s="293"/>
      <c r="D128" s="32"/>
    </row>
    <row r="129" spans="1:4" ht="15.75">
      <c r="A129" s="63" t="s">
        <v>422</v>
      </c>
      <c r="B129" s="292" t="s">
        <v>423</v>
      </c>
      <c r="C129" s="293"/>
      <c r="D129" s="32"/>
    </row>
    <row r="130" spans="1:4" ht="15.75">
      <c r="A130" s="63">
        <v>10</v>
      </c>
      <c r="B130" s="292" t="s">
        <v>424</v>
      </c>
      <c r="C130" s="293"/>
      <c r="D130" s="32"/>
    </row>
    <row r="131" spans="1:4" ht="15.75">
      <c r="A131" s="63">
        <v>11</v>
      </c>
      <c r="B131" s="292" t="s">
        <v>425</v>
      </c>
      <c r="C131" s="293"/>
      <c r="D131" s="32"/>
    </row>
    <row r="132" spans="1:4" ht="15.75">
      <c r="A132" s="63">
        <v>12</v>
      </c>
      <c r="B132" s="292" t="s">
        <v>426</v>
      </c>
      <c r="C132" s="293"/>
      <c r="D132" s="32"/>
    </row>
    <row r="133" spans="1:4" ht="15.75">
      <c r="A133" s="63">
        <v>13</v>
      </c>
      <c r="B133" s="292" t="s">
        <v>427</v>
      </c>
      <c r="C133" s="293"/>
      <c r="D133" s="32"/>
    </row>
    <row r="135" spans="1:5" s="57" customFormat="1" ht="15.75">
      <c r="A135" s="54">
        <v>14</v>
      </c>
      <c r="B135" s="53" t="s">
        <v>142</v>
      </c>
      <c r="C135" s="55"/>
      <c r="D135" s="52" t="s">
        <v>416</v>
      </c>
      <c r="E135" s="56"/>
    </row>
    <row r="136" spans="1:4" ht="63">
      <c r="A136" s="32">
        <v>14.1</v>
      </c>
      <c r="B136" s="34" t="s">
        <v>143</v>
      </c>
      <c r="C136" s="34" t="s">
        <v>144</v>
      </c>
      <c r="D136" s="34"/>
    </row>
    <row r="137" spans="1:5" ht="94.5">
      <c r="A137" s="32">
        <v>14.2</v>
      </c>
      <c r="B137" s="34" t="s">
        <v>18</v>
      </c>
      <c r="C137" s="34" t="s">
        <v>19</v>
      </c>
      <c r="D137" s="34" t="s">
        <v>20</v>
      </c>
      <c r="E137" s="2" t="s">
        <v>771</v>
      </c>
    </row>
    <row r="138" spans="1:4" ht="31.5">
      <c r="A138" s="32">
        <v>14.3</v>
      </c>
      <c r="B138" s="34" t="s">
        <v>1029</v>
      </c>
      <c r="C138" s="34" t="s">
        <v>1030</v>
      </c>
      <c r="D138" s="34" t="s">
        <v>1030</v>
      </c>
    </row>
    <row r="139" spans="1:5" ht="31.5">
      <c r="A139" s="32">
        <v>14.4</v>
      </c>
      <c r="B139" s="34" t="s">
        <v>21</v>
      </c>
      <c r="C139" s="34" t="s">
        <v>22</v>
      </c>
      <c r="D139" s="34" t="s">
        <v>22</v>
      </c>
      <c r="E139" s="2" t="s">
        <v>772</v>
      </c>
    </row>
    <row r="140" spans="1:5" ht="63">
      <c r="A140" s="32">
        <v>14.5</v>
      </c>
      <c r="B140" s="34" t="s">
        <v>623</v>
      </c>
      <c r="C140" s="32"/>
      <c r="D140" s="34"/>
      <c r="E140" s="2" t="s">
        <v>773</v>
      </c>
    </row>
    <row r="141" spans="1:5" ht="97.5">
      <c r="A141" s="32">
        <v>14.6</v>
      </c>
      <c r="B141" s="34" t="s">
        <v>624</v>
      </c>
      <c r="C141" s="32"/>
      <c r="D141" s="34" t="s">
        <v>625</v>
      </c>
      <c r="E141" s="2" t="s">
        <v>774</v>
      </c>
    </row>
    <row r="142" spans="1:4" ht="15.75">
      <c r="A142" s="32">
        <v>14.7</v>
      </c>
      <c r="B142" s="34" t="s">
        <v>1032</v>
      </c>
      <c r="C142" s="34" t="s">
        <v>1032</v>
      </c>
      <c r="D142" s="34"/>
    </row>
    <row r="143" spans="1:4" ht="15.75">
      <c r="A143" s="32">
        <v>14.8</v>
      </c>
      <c r="B143" s="34" t="s">
        <v>1033</v>
      </c>
      <c r="C143" s="34" t="s">
        <v>1033</v>
      </c>
      <c r="D143" s="34"/>
    </row>
    <row r="145" spans="1:4" ht="15.75">
      <c r="A145" s="54">
        <v>15</v>
      </c>
      <c r="B145" s="53" t="s">
        <v>626</v>
      </c>
      <c r="D145" s="52" t="s">
        <v>417</v>
      </c>
    </row>
    <row r="146" spans="1:4" ht="78.75">
      <c r="A146" s="32">
        <v>15.1</v>
      </c>
      <c r="B146" s="33" t="s">
        <v>650</v>
      </c>
      <c r="C146" s="34"/>
      <c r="D146" s="32"/>
    </row>
    <row r="147" spans="1:5" ht="110.25">
      <c r="A147" s="32">
        <v>15.2</v>
      </c>
      <c r="B147" s="33" t="s">
        <v>658</v>
      </c>
      <c r="C147" s="34" t="s">
        <v>659</v>
      </c>
      <c r="D147" s="32"/>
      <c r="E147" s="2" t="s">
        <v>775</v>
      </c>
    </row>
    <row r="148" spans="1:4" ht="126">
      <c r="A148" s="32">
        <v>15.3</v>
      </c>
      <c r="B148" s="33" t="s">
        <v>660</v>
      </c>
      <c r="C148" s="34" t="s">
        <v>661</v>
      </c>
      <c r="D148" s="32" t="s">
        <v>662</v>
      </c>
    </row>
    <row r="149" spans="1:4" ht="31.5">
      <c r="A149" s="32">
        <v>15.4</v>
      </c>
      <c r="B149" s="33" t="s">
        <v>663</v>
      </c>
      <c r="C149" s="34"/>
      <c r="D149" s="32"/>
    </row>
    <row r="150" spans="1:4" ht="78.75">
      <c r="A150" s="32">
        <v>15.5</v>
      </c>
      <c r="B150" s="33" t="s">
        <v>664</v>
      </c>
      <c r="C150" s="34" t="s">
        <v>665</v>
      </c>
      <c r="D150" s="34" t="s">
        <v>666</v>
      </c>
    </row>
    <row r="151" spans="1:4" ht="78.75">
      <c r="A151" s="32">
        <v>15.6</v>
      </c>
      <c r="B151" s="33" t="s">
        <v>667</v>
      </c>
      <c r="C151" s="32" t="s">
        <v>668</v>
      </c>
      <c r="D151" s="32" t="s">
        <v>583</v>
      </c>
    </row>
    <row r="152" spans="1:5" ht="47.25">
      <c r="A152" s="32">
        <v>15.7</v>
      </c>
      <c r="B152" s="33" t="s">
        <v>669</v>
      </c>
      <c r="C152" s="34" t="s">
        <v>670</v>
      </c>
      <c r="D152" s="34" t="s">
        <v>671</v>
      </c>
      <c r="E152" s="2" t="s">
        <v>764</v>
      </c>
    </row>
    <row r="153" spans="1:5" ht="63">
      <c r="A153" s="32">
        <v>15.8</v>
      </c>
      <c r="B153" s="33" t="s">
        <v>672</v>
      </c>
      <c r="C153" s="34"/>
      <c r="D153" s="34" t="s">
        <v>673</v>
      </c>
      <c r="E153" s="2" t="s">
        <v>776</v>
      </c>
    </row>
    <row r="154" spans="1:5" ht="78.75">
      <c r="A154" s="32">
        <v>15.9</v>
      </c>
      <c r="B154" s="34" t="s">
        <v>674</v>
      </c>
      <c r="C154" s="34" t="s">
        <v>675</v>
      </c>
      <c r="D154" s="34" t="s">
        <v>584</v>
      </c>
      <c r="E154" s="2" t="s">
        <v>777</v>
      </c>
    </row>
    <row r="155" spans="1:5" ht="94.5">
      <c r="A155" s="36" t="s">
        <v>585</v>
      </c>
      <c r="B155" s="34" t="s">
        <v>676</v>
      </c>
      <c r="C155" s="34"/>
      <c r="D155" s="34" t="s">
        <v>677</v>
      </c>
      <c r="E155" s="2" t="s">
        <v>778</v>
      </c>
    </row>
    <row r="156" spans="1:4" ht="126">
      <c r="A156" s="37">
        <v>15.11</v>
      </c>
      <c r="B156" s="34" t="s">
        <v>678</v>
      </c>
      <c r="C156" s="34"/>
      <c r="D156" s="34" t="s">
        <v>579</v>
      </c>
    </row>
    <row r="157" spans="1:4" ht="110.25">
      <c r="A157" s="37">
        <v>15.12</v>
      </c>
      <c r="B157" s="34" t="s">
        <v>580</v>
      </c>
      <c r="C157" s="34"/>
      <c r="D157" s="34"/>
    </row>
    <row r="158" spans="1:5" ht="47.25">
      <c r="A158" s="37">
        <v>15.13</v>
      </c>
      <c r="B158" s="34" t="s">
        <v>581</v>
      </c>
      <c r="C158" s="34"/>
      <c r="D158" s="34"/>
      <c r="E158" s="2" t="s">
        <v>762</v>
      </c>
    </row>
    <row r="159" spans="1:4" ht="110.25">
      <c r="A159" s="37">
        <v>15.14</v>
      </c>
      <c r="B159" s="34" t="s">
        <v>582</v>
      </c>
      <c r="C159" s="34"/>
      <c r="D159" s="32"/>
    </row>
    <row r="161" spans="1:5" s="57" customFormat="1" ht="15.75">
      <c r="A161" s="54">
        <v>16</v>
      </c>
      <c r="B161" s="53" t="s">
        <v>586</v>
      </c>
      <c r="C161" s="55"/>
      <c r="D161" s="52" t="s">
        <v>417</v>
      </c>
      <c r="E161" s="56"/>
    </row>
    <row r="162" spans="1:5" ht="220.5">
      <c r="A162" s="32">
        <v>16.1</v>
      </c>
      <c r="B162" s="33" t="s">
        <v>587</v>
      </c>
      <c r="C162" s="34" t="s">
        <v>736</v>
      </c>
      <c r="D162" s="32"/>
      <c r="E162" s="32"/>
    </row>
    <row r="163" spans="1:5" ht="31.5">
      <c r="A163" s="32">
        <v>16.2</v>
      </c>
      <c r="B163" s="33" t="s">
        <v>663</v>
      </c>
      <c r="C163" s="34"/>
      <c r="D163" s="32" t="s">
        <v>588</v>
      </c>
      <c r="E163" s="32"/>
    </row>
    <row r="164" spans="1:5" ht="63">
      <c r="A164" s="32">
        <v>16.3</v>
      </c>
      <c r="B164" s="33" t="s">
        <v>589</v>
      </c>
      <c r="C164" s="34"/>
      <c r="D164" s="34" t="s">
        <v>590</v>
      </c>
      <c r="E164" s="34"/>
    </row>
    <row r="165" spans="1:5" ht="126">
      <c r="A165" s="32">
        <v>16.4</v>
      </c>
      <c r="B165" s="33" t="s">
        <v>591</v>
      </c>
      <c r="C165" s="32" t="s">
        <v>346</v>
      </c>
      <c r="D165" s="32" t="s">
        <v>592</v>
      </c>
      <c r="E165" s="32" t="s">
        <v>782</v>
      </c>
    </row>
    <row r="166" spans="1:5" ht="31.5">
      <c r="A166" s="32">
        <v>16.5</v>
      </c>
      <c r="B166" s="33" t="s">
        <v>593</v>
      </c>
      <c r="C166" s="34"/>
      <c r="D166" s="34" t="s">
        <v>0</v>
      </c>
      <c r="E166" s="34" t="s">
        <v>769</v>
      </c>
    </row>
    <row r="167" spans="1:5" ht="47.25">
      <c r="A167" s="32">
        <v>16.6</v>
      </c>
      <c r="B167" s="33" t="s">
        <v>1</v>
      </c>
      <c r="C167" s="34"/>
      <c r="D167" s="34" t="s">
        <v>2</v>
      </c>
      <c r="E167" s="34" t="s">
        <v>776</v>
      </c>
    </row>
    <row r="168" spans="1:5" ht="47.25">
      <c r="A168" s="32">
        <v>16.7</v>
      </c>
      <c r="B168" s="33" t="s">
        <v>3</v>
      </c>
      <c r="C168" s="34" t="s">
        <v>4</v>
      </c>
      <c r="D168" s="34" t="s">
        <v>728</v>
      </c>
      <c r="E168" s="34" t="s">
        <v>766</v>
      </c>
    </row>
    <row r="169" spans="1:5" ht="63" customHeight="1">
      <c r="A169" s="32">
        <v>16.8</v>
      </c>
      <c r="B169" s="33" t="s">
        <v>729</v>
      </c>
      <c r="C169" s="34"/>
      <c r="D169" s="34" t="s">
        <v>677</v>
      </c>
      <c r="E169" s="34" t="s">
        <v>778</v>
      </c>
    </row>
    <row r="170" spans="1:5" ht="63">
      <c r="A170" s="32">
        <v>16.9</v>
      </c>
      <c r="B170" s="33" t="s">
        <v>730</v>
      </c>
      <c r="C170" s="34"/>
      <c r="D170" s="34" t="s">
        <v>731</v>
      </c>
      <c r="E170" s="34" t="s">
        <v>779</v>
      </c>
    </row>
    <row r="171" spans="1:5" ht="94.5">
      <c r="A171" s="36" t="s">
        <v>347</v>
      </c>
      <c r="B171" s="33" t="s">
        <v>732</v>
      </c>
      <c r="C171" s="32"/>
      <c r="D171" s="32"/>
      <c r="E171" s="32"/>
    </row>
    <row r="172" spans="1:5" ht="110.25">
      <c r="A172" s="37">
        <v>16.11</v>
      </c>
      <c r="B172" s="34" t="s">
        <v>733</v>
      </c>
      <c r="C172" s="34"/>
      <c r="D172" s="34"/>
      <c r="E172" s="34"/>
    </row>
    <row r="173" spans="1:5" ht="47.25">
      <c r="A173" s="37">
        <v>16.12</v>
      </c>
      <c r="B173" s="34" t="s">
        <v>734</v>
      </c>
      <c r="C173" s="34"/>
      <c r="D173" s="34"/>
      <c r="E173" s="34" t="s">
        <v>762</v>
      </c>
    </row>
    <row r="174" spans="1:5" ht="63">
      <c r="A174" s="37">
        <v>16.13</v>
      </c>
      <c r="B174" s="33" t="s">
        <v>735</v>
      </c>
      <c r="C174" s="34"/>
      <c r="D174" s="32"/>
      <c r="E174" s="32"/>
    </row>
    <row r="176" spans="1:5" s="57" customFormat="1" ht="15.75">
      <c r="A176" s="54">
        <v>17</v>
      </c>
      <c r="B176" s="53" t="s">
        <v>348</v>
      </c>
      <c r="C176" s="55"/>
      <c r="D176" s="52" t="s">
        <v>419</v>
      </c>
      <c r="E176" s="56"/>
    </row>
    <row r="177" spans="1:4" ht="63">
      <c r="A177" s="32">
        <v>17.1</v>
      </c>
      <c r="B177" s="33" t="s">
        <v>349</v>
      </c>
      <c r="C177" s="34"/>
      <c r="D177" s="32"/>
    </row>
    <row r="178" spans="1:5" ht="141.75">
      <c r="A178" s="32">
        <v>17.2</v>
      </c>
      <c r="B178" s="33" t="s">
        <v>350</v>
      </c>
      <c r="C178" s="34" t="s">
        <v>162</v>
      </c>
      <c r="D178" s="32"/>
      <c r="E178" s="2" t="s">
        <v>780</v>
      </c>
    </row>
    <row r="179" spans="1:4" ht="94.5">
      <c r="A179" s="32">
        <v>17.3</v>
      </c>
      <c r="B179" s="34" t="s">
        <v>351</v>
      </c>
      <c r="C179" s="34"/>
      <c r="D179" s="32"/>
    </row>
    <row r="180" spans="1:4" ht="110.25">
      <c r="A180" s="32">
        <v>17.4</v>
      </c>
      <c r="B180" s="33" t="s">
        <v>352</v>
      </c>
      <c r="C180" s="34" t="s">
        <v>418</v>
      </c>
      <c r="D180" s="32"/>
    </row>
    <row r="181" spans="1:5" ht="47.25">
      <c r="A181" s="32">
        <v>17.5</v>
      </c>
      <c r="B181" s="34" t="s">
        <v>353</v>
      </c>
      <c r="C181" s="32" t="s">
        <v>1045</v>
      </c>
      <c r="D181" s="32" t="s">
        <v>354</v>
      </c>
      <c r="E181" s="2" t="s">
        <v>769</v>
      </c>
    </row>
    <row r="182" spans="1:5" ht="31.5">
      <c r="A182" s="32">
        <v>17.6</v>
      </c>
      <c r="B182" s="33" t="s">
        <v>355</v>
      </c>
      <c r="C182" s="32"/>
      <c r="D182" s="32" t="s">
        <v>356</v>
      </c>
      <c r="E182" s="2" t="s">
        <v>372</v>
      </c>
    </row>
    <row r="183" spans="1:5" ht="31.5">
      <c r="A183" s="32">
        <v>17.7</v>
      </c>
      <c r="B183" s="33" t="s">
        <v>357</v>
      </c>
      <c r="C183" s="32"/>
      <c r="D183" s="32" t="s">
        <v>358</v>
      </c>
      <c r="E183" s="2" t="s">
        <v>776</v>
      </c>
    </row>
    <row r="184" spans="1:5" ht="63">
      <c r="A184" s="32">
        <v>17.8</v>
      </c>
      <c r="B184" s="34" t="s">
        <v>359</v>
      </c>
      <c r="C184" s="34" t="s">
        <v>557</v>
      </c>
      <c r="D184" s="32" t="s">
        <v>360</v>
      </c>
      <c r="E184" s="2" t="s">
        <v>434</v>
      </c>
    </row>
    <row r="185" spans="1:5" ht="110.25">
      <c r="A185" s="32">
        <v>17.9</v>
      </c>
      <c r="B185" s="34" t="s">
        <v>361</v>
      </c>
      <c r="C185" s="34" t="s">
        <v>362</v>
      </c>
      <c r="D185" s="32" t="s">
        <v>361</v>
      </c>
      <c r="E185" s="2" t="s">
        <v>781</v>
      </c>
    </row>
    <row r="186" spans="1:5" ht="47.25">
      <c r="A186" s="36" t="s">
        <v>409</v>
      </c>
      <c r="B186" s="34" t="s">
        <v>363</v>
      </c>
      <c r="C186" s="34"/>
      <c r="D186" s="32" t="s">
        <v>364</v>
      </c>
      <c r="E186" s="2" t="s">
        <v>442</v>
      </c>
    </row>
    <row r="187" spans="1:4" ht="63">
      <c r="A187" s="37">
        <v>17.11</v>
      </c>
      <c r="B187" s="34" t="s">
        <v>365</v>
      </c>
      <c r="C187" s="34" t="s">
        <v>366</v>
      </c>
      <c r="D187" s="32"/>
    </row>
    <row r="188" spans="1:4" ht="47.25">
      <c r="A188" s="37">
        <v>17.12</v>
      </c>
      <c r="B188" s="34" t="s">
        <v>159</v>
      </c>
      <c r="C188" s="32"/>
      <c r="D188" s="32"/>
    </row>
    <row r="189" spans="1:4" ht="47.25">
      <c r="A189" s="37">
        <v>17.13</v>
      </c>
      <c r="B189" s="34" t="s">
        <v>160</v>
      </c>
      <c r="C189" s="32"/>
      <c r="D189" s="32"/>
    </row>
    <row r="190" spans="1:4" ht="31.5">
      <c r="A190" s="37">
        <v>17.14</v>
      </c>
      <c r="B190" s="34" t="s">
        <v>569</v>
      </c>
      <c r="C190" s="32"/>
      <c r="D190" s="32"/>
    </row>
    <row r="191" spans="1:4" ht="94.5">
      <c r="A191" s="37">
        <v>17.15</v>
      </c>
      <c r="B191" s="34" t="s">
        <v>161</v>
      </c>
      <c r="C191" s="32"/>
      <c r="D191" s="32"/>
    </row>
    <row r="192" spans="1:4" ht="47.25">
      <c r="A192" s="37">
        <v>17.16</v>
      </c>
      <c r="B192" s="34" t="s">
        <v>571</v>
      </c>
      <c r="C192" s="32"/>
      <c r="D192" s="32"/>
    </row>
  </sheetData>
  <mergeCells count="10">
    <mergeCell ref="D69:D70"/>
    <mergeCell ref="B130:C130"/>
    <mergeCell ref="B131:C131"/>
    <mergeCell ref="B132:C132"/>
    <mergeCell ref="B128:C128"/>
    <mergeCell ref="B129:C129"/>
    <mergeCell ref="A69:A70"/>
    <mergeCell ref="B69:B70"/>
    <mergeCell ref="C69:C70"/>
    <mergeCell ref="B133:C133"/>
  </mergeCells>
  <printOptions gridLines="1"/>
  <pageMargins left="0.34" right="0.16" top="0.6" bottom="0.52" header="0.38" footer="0.27"/>
  <pageSetup horizontalDpi="600" verticalDpi="600" orientation="portrait" r:id="rId3"/>
  <legacyDrawing r:id="rId2"/>
  <oleObjects>
    <oleObject progId="Equation.3" shapeId="69682000" r:id="rId1"/>
  </oleObjects>
</worksheet>
</file>

<file path=xl/worksheets/sheet7.xml><?xml version="1.0" encoding="utf-8"?>
<worksheet xmlns="http://schemas.openxmlformats.org/spreadsheetml/2006/main" xmlns:r="http://schemas.openxmlformats.org/officeDocument/2006/relationships">
  <dimension ref="A1:E58"/>
  <sheetViews>
    <sheetView workbookViewId="0" topLeftCell="A1">
      <selection activeCell="F4" sqref="F4"/>
    </sheetView>
  </sheetViews>
  <sheetFormatPr defaultColWidth="9.140625" defaultRowHeight="12.75"/>
  <cols>
    <col min="1" max="1" width="4.140625" style="1" customWidth="1"/>
    <col min="2" max="2" width="19.57421875" style="0" customWidth="1"/>
    <col min="3" max="3" width="46.8515625" style="0" customWidth="1"/>
    <col min="4" max="4" width="28.7109375" style="0" customWidth="1"/>
    <col min="5" max="5" width="5.28125" style="0" customWidth="1"/>
  </cols>
  <sheetData>
    <row r="1" spans="4:5" ht="12.75">
      <c r="D1" s="305" t="s">
        <v>445</v>
      </c>
      <c r="E1" s="303"/>
    </row>
    <row r="2" spans="1:5" ht="12.75">
      <c r="A2" s="64" t="s">
        <v>446</v>
      </c>
      <c r="B2" s="64" t="s">
        <v>444</v>
      </c>
      <c r="C2" s="64" t="s">
        <v>681</v>
      </c>
      <c r="D2" s="64" t="s">
        <v>243</v>
      </c>
      <c r="E2" s="64" t="s">
        <v>242</v>
      </c>
    </row>
    <row r="3" spans="1:5" ht="89.25">
      <c r="A3" s="112">
        <v>0</v>
      </c>
      <c r="B3" s="113" t="s">
        <v>5</v>
      </c>
      <c r="C3" s="113" t="s">
        <v>164</v>
      </c>
      <c r="D3" s="113" t="s">
        <v>727</v>
      </c>
      <c r="E3" s="114"/>
    </row>
    <row r="4" spans="1:5" ht="216.75">
      <c r="A4" s="216">
        <f>1</f>
        <v>1</v>
      </c>
      <c r="B4" s="224" t="s">
        <v>12</v>
      </c>
      <c r="C4" s="2" t="s">
        <v>718</v>
      </c>
      <c r="D4" s="2" t="s">
        <v>726</v>
      </c>
      <c r="E4" s="108">
        <f>(6.129*0.15+0.08+0.025+0.075/2+0.1/2)*'Cost Est (then-yr)'!B19^4</f>
        <v>1.275873448244906</v>
      </c>
    </row>
    <row r="5" spans="1:5" ht="127.5">
      <c r="A5" s="216">
        <f aca="true" t="shared" si="0" ref="A5:A21">A4+1</f>
        <v>2</v>
      </c>
      <c r="B5" s="224" t="s">
        <v>717</v>
      </c>
      <c r="C5" s="2" t="s">
        <v>241</v>
      </c>
      <c r="D5" s="2" t="s">
        <v>724</v>
      </c>
      <c r="E5" s="108">
        <f>(0.04*2+0.17*2)*'Cost Est (then-yr)'!B19^4</f>
        <v>0.4819596602624999</v>
      </c>
    </row>
    <row r="6" spans="1:5" ht="153">
      <c r="A6" s="216">
        <f t="shared" si="0"/>
        <v>3</v>
      </c>
      <c r="B6" s="224" t="s">
        <v>750</v>
      </c>
      <c r="C6" s="2" t="s">
        <v>752</v>
      </c>
      <c r="D6" s="2" t="s">
        <v>812</v>
      </c>
      <c r="E6" s="108">
        <f>4*(0.02+0.033)*'Cost Est (then-yr)'!B19^4</f>
        <v>0.24327487613249996</v>
      </c>
    </row>
    <row r="7" spans="1:5" ht="76.5">
      <c r="A7" s="216">
        <f t="shared" si="0"/>
        <v>4</v>
      </c>
      <c r="B7" s="224" t="s">
        <v>247</v>
      </c>
      <c r="C7" s="2" t="s">
        <v>246</v>
      </c>
      <c r="D7" s="2"/>
      <c r="E7" s="108"/>
    </row>
    <row r="8" spans="1:5" ht="140.25">
      <c r="A8" s="216">
        <f t="shared" si="0"/>
        <v>5</v>
      </c>
      <c r="B8" s="224" t="s">
        <v>1040</v>
      </c>
      <c r="C8" s="2" t="s">
        <v>806</v>
      </c>
      <c r="D8" s="2" t="s">
        <v>813</v>
      </c>
      <c r="E8" s="108">
        <f>(0.04*7*0.5+0.117*0.1+0.05+0.05)*'Cost Est (then-yr)'!B19^4</f>
        <v>0.2888315392573124</v>
      </c>
    </row>
    <row r="9" spans="1:5" ht="102">
      <c r="A9" s="216">
        <f t="shared" si="0"/>
        <v>6</v>
      </c>
      <c r="B9" s="224" t="s">
        <v>748</v>
      </c>
      <c r="C9" s="2" t="s">
        <v>787</v>
      </c>
      <c r="D9" s="2" t="s">
        <v>725</v>
      </c>
      <c r="E9" s="108">
        <f>(0.074+1500*0.000073)*'Cost Est (then-yr)'!B19^4</f>
        <v>0.21057047061468745</v>
      </c>
    </row>
    <row r="10" spans="1:5" ht="63.75">
      <c r="A10" s="216">
        <f t="shared" si="0"/>
        <v>7</v>
      </c>
      <c r="B10" s="224" t="s">
        <v>14</v>
      </c>
      <c r="C10" s="2" t="s">
        <v>814</v>
      </c>
      <c r="D10" s="2" t="s">
        <v>15</v>
      </c>
      <c r="E10">
        <f>0.025*'Cost Est (then-yr)'!B19^4</f>
        <v>0.028688075015624995</v>
      </c>
    </row>
    <row r="11" spans="1:5" ht="127.5">
      <c r="A11" s="216">
        <f t="shared" si="0"/>
        <v>8</v>
      </c>
      <c r="B11" s="224" t="s">
        <v>749</v>
      </c>
      <c r="C11" s="2" t="s">
        <v>815</v>
      </c>
      <c r="D11" s="2" t="s">
        <v>721</v>
      </c>
      <c r="E11" s="108">
        <f>(0.364/3+0.005)*'Cost Est (then-yr)'!B19^4</f>
        <v>0.14497040574562495</v>
      </c>
    </row>
    <row r="12" spans="1:5" ht="38.25">
      <c r="A12" s="216">
        <f>A11+1</f>
        <v>9</v>
      </c>
      <c r="B12" s="225" t="s">
        <v>165</v>
      </c>
      <c r="C12" s="2" t="s">
        <v>1041</v>
      </c>
      <c r="D12" s="2" t="s">
        <v>824</v>
      </c>
      <c r="E12" s="108">
        <f>(3.65-0.5)</f>
        <v>3.15</v>
      </c>
    </row>
    <row r="13" spans="1:5" ht="127.5">
      <c r="A13" s="216">
        <f t="shared" si="0"/>
        <v>10</v>
      </c>
      <c r="B13" s="226" t="s">
        <v>6</v>
      </c>
      <c r="C13" s="109" t="s">
        <v>737</v>
      </c>
      <c r="D13" s="2" t="s">
        <v>816</v>
      </c>
      <c r="E13" s="108">
        <f>(0.136+0.06)*'Cost Est (then-yr)'!B19^4</f>
        <v>0.22491450812249994</v>
      </c>
    </row>
    <row r="14" spans="1:5" ht="140.25">
      <c r="A14" s="216">
        <f t="shared" si="0"/>
        <v>11</v>
      </c>
      <c r="B14" s="227" t="s">
        <v>244</v>
      </c>
      <c r="C14" s="2" t="s">
        <v>245</v>
      </c>
      <c r="D14" s="2" t="s">
        <v>817</v>
      </c>
      <c r="E14" s="108">
        <f>(0.15+0.15+0.025)*'Cost Est (then-yr)'!B19^4</f>
        <v>0.3729449752031249</v>
      </c>
    </row>
    <row r="15" spans="1:5" ht="63.75">
      <c r="A15" s="216">
        <f t="shared" si="0"/>
        <v>12</v>
      </c>
      <c r="B15" s="227" t="s">
        <v>10</v>
      </c>
      <c r="C15" s="2" t="s">
        <v>11</v>
      </c>
      <c r="D15" s="2" t="s">
        <v>818</v>
      </c>
      <c r="E15" s="108">
        <f>(0.09-0.02)*'Cost Est (then-yr)'!B19^4</f>
        <v>0.08032661004374997</v>
      </c>
    </row>
    <row r="16" spans="1:5" ht="153">
      <c r="A16" s="216">
        <f t="shared" si="0"/>
        <v>13</v>
      </c>
      <c r="B16" s="227" t="s">
        <v>176</v>
      </c>
      <c r="C16" s="2" t="s">
        <v>819</v>
      </c>
      <c r="D16" s="2" t="s">
        <v>820</v>
      </c>
      <c r="E16" s="21">
        <f>(0.152+0.017+0.005+0.103/2)*'Cost Est (then-yr)'!B19^4+0.145/2*'Cost Est (then-yr)'!B19^3</f>
        <v>0.3391484825784374</v>
      </c>
    </row>
    <row r="17" spans="1:5" ht="242.25">
      <c r="A17" s="216">
        <f t="shared" si="0"/>
        <v>14</v>
      </c>
      <c r="B17" s="229" t="s">
        <v>407</v>
      </c>
      <c r="C17" s="117" t="s">
        <v>408</v>
      </c>
      <c r="D17" s="2" t="s">
        <v>821</v>
      </c>
      <c r="E17" s="108">
        <f>(0.431*0.35+(0.1-0.045))*'Cost Est (then-yr)'!B19^3</f>
        <v>0.22822957456874993</v>
      </c>
    </row>
    <row r="18" spans="1:5" ht="38.25">
      <c r="A18" s="216">
        <f t="shared" si="0"/>
        <v>15</v>
      </c>
      <c r="B18" s="223" t="s">
        <v>173</v>
      </c>
      <c r="C18" s="2" t="s">
        <v>174</v>
      </c>
      <c r="D18" s="2" t="s">
        <v>175</v>
      </c>
      <c r="E18">
        <f>0.05*'Cost Est (then-yr)'!B19^4</f>
        <v>0.05737615003124999</v>
      </c>
    </row>
    <row r="19" spans="1:5" ht="89.25">
      <c r="A19" s="216">
        <f t="shared" si="0"/>
        <v>16</v>
      </c>
      <c r="B19" s="228" t="s">
        <v>1042</v>
      </c>
      <c r="C19" s="2" t="s">
        <v>1043</v>
      </c>
      <c r="D19" s="2" t="s">
        <v>822</v>
      </c>
      <c r="E19" s="108">
        <f>(6.841*0.03)*'Cost Est (then-yr)'!B19^2</f>
        <v>0.21984750674999998</v>
      </c>
    </row>
    <row r="20" spans="1:5" ht="63.75">
      <c r="A20" s="216">
        <f t="shared" si="0"/>
        <v>17</v>
      </c>
      <c r="B20" s="228" t="s">
        <v>166</v>
      </c>
      <c r="C20" s="2" t="s">
        <v>719</v>
      </c>
      <c r="D20" s="2" t="s">
        <v>722</v>
      </c>
      <c r="E20" s="108">
        <f>(0.075+0.02)*'Cost Est (then-yr)'!B19^4</f>
        <v>0.10901468505937498</v>
      </c>
    </row>
    <row r="21" spans="1:5" ht="63.75">
      <c r="A21" s="216">
        <f t="shared" si="0"/>
        <v>18</v>
      </c>
      <c r="B21" s="228" t="s">
        <v>171</v>
      </c>
      <c r="C21" s="2" t="s">
        <v>720</v>
      </c>
      <c r="D21" s="2" t="s">
        <v>723</v>
      </c>
      <c r="E21">
        <f>-(3*(0.00015*1000-0.075)+(0.00015*4000-0.4))*'Cost Est (then-yr)'!B19^4</f>
        <v>-0.4876972752656248</v>
      </c>
    </row>
    <row r="22" spans="2:5" ht="25.5">
      <c r="B22" s="2"/>
      <c r="C22" s="2"/>
      <c r="D22" s="107" t="s">
        <v>823</v>
      </c>
      <c r="E22" s="108">
        <f>(SUM(E2:E21)-E12-E13)*1.25+E12*1.3</f>
        <v>8.586698980302772</v>
      </c>
    </row>
    <row r="23" spans="2:5" ht="12.75">
      <c r="B23" s="2"/>
      <c r="C23" s="2"/>
      <c r="D23" s="110" t="s">
        <v>367</v>
      </c>
      <c r="E23" s="111">
        <f>60-('Cost Est (then-yr)'!K16/1000-'Proposed Savings'!E22)</f>
        <v>0.7762107718746876</v>
      </c>
    </row>
    <row r="24" spans="2:5" ht="12.75">
      <c r="B24" s="2"/>
      <c r="C24" s="2"/>
      <c r="D24" s="110"/>
      <c r="E24" s="111"/>
    </row>
    <row r="25" spans="1:5" ht="12.75">
      <c r="A25" s="298" t="s">
        <v>783</v>
      </c>
      <c r="B25" s="299"/>
      <c r="C25" s="119" t="s">
        <v>238</v>
      </c>
      <c r="D25" s="110"/>
      <c r="E25" s="111"/>
    </row>
    <row r="26" spans="1:5" ht="25.5">
      <c r="A26" s="120" t="s">
        <v>784</v>
      </c>
      <c r="B26" s="121" t="s">
        <v>236</v>
      </c>
      <c r="C26" s="222" t="s">
        <v>807</v>
      </c>
      <c r="D26" s="110"/>
      <c r="E26" s="111"/>
    </row>
    <row r="27" spans="1:5" ht="12.75">
      <c r="A27" s="120" t="s">
        <v>785</v>
      </c>
      <c r="B27" s="121" t="s">
        <v>233</v>
      </c>
      <c r="C27" s="121" t="s">
        <v>239</v>
      </c>
      <c r="D27" s="110"/>
      <c r="E27" s="111"/>
    </row>
    <row r="28" spans="1:5" ht="12.75">
      <c r="A28" s="120">
        <v>2</v>
      </c>
      <c r="B28" s="121" t="s">
        <v>234</v>
      </c>
      <c r="C28" s="121" t="s">
        <v>808</v>
      </c>
      <c r="D28" s="110"/>
      <c r="E28" s="111"/>
    </row>
    <row r="29" spans="1:5" ht="38.25">
      <c r="A29" s="120">
        <v>3</v>
      </c>
      <c r="B29" s="121" t="s">
        <v>240</v>
      </c>
      <c r="C29" s="230" t="s">
        <v>811</v>
      </c>
      <c r="D29" s="110"/>
      <c r="E29" s="111"/>
    </row>
    <row r="30" spans="1:5" ht="25.5">
      <c r="A30" s="120">
        <v>4</v>
      </c>
      <c r="B30" s="121" t="s">
        <v>235</v>
      </c>
      <c r="C30" s="121" t="s">
        <v>810</v>
      </c>
      <c r="D30" s="110"/>
      <c r="E30" s="111"/>
    </row>
    <row r="31" spans="1:5" ht="12.75">
      <c r="A31" s="120">
        <v>5</v>
      </c>
      <c r="B31" s="121" t="s">
        <v>237</v>
      </c>
      <c r="C31" s="230" t="s">
        <v>809</v>
      </c>
      <c r="D31" s="110"/>
      <c r="E31" s="111"/>
    </row>
    <row r="32" spans="2:5" ht="12.75">
      <c r="B32" s="2"/>
      <c r="C32" s="2"/>
      <c r="D32" s="110"/>
      <c r="E32" s="111"/>
    </row>
    <row r="33" spans="1:5" ht="12.75">
      <c r="A33" s="300" t="s">
        <v>368</v>
      </c>
      <c r="B33" s="300"/>
      <c r="C33" s="300"/>
      <c r="D33" s="300"/>
      <c r="E33" s="300"/>
    </row>
    <row r="34" spans="2:5" ht="12.75">
      <c r="B34" s="302" t="s">
        <v>369</v>
      </c>
      <c r="C34" s="302"/>
      <c r="D34" s="302"/>
      <c r="E34" s="302"/>
    </row>
    <row r="35" spans="2:5" ht="25.5" customHeight="1">
      <c r="B35" s="302" t="s">
        <v>168</v>
      </c>
      <c r="C35" s="302"/>
      <c r="D35" s="302"/>
      <c r="E35" s="302"/>
    </row>
    <row r="36" spans="2:5" ht="12.75">
      <c r="B36" s="302" t="s">
        <v>370</v>
      </c>
      <c r="C36" s="302"/>
      <c r="D36" s="302"/>
      <c r="E36" s="302"/>
    </row>
    <row r="37" spans="2:5" ht="12.75">
      <c r="B37" s="302" t="s">
        <v>747</v>
      </c>
      <c r="C37" s="302"/>
      <c r="D37" s="302"/>
      <c r="E37" s="302"/>
    </row>
    <row r="38" spans="2:5" ht="12.75">
      <c r="B38" s="302" t="s">
        <v>8</v>
      </c>
      <c r="C38" s="302"/>
      <c r="D38" s="302"/>
      <c r="E38" s="302"/>
    </row>
    <row r="39" spans="2:5" ht="12.75">
      <c r="B39" s="304" t="s">
        <v>751</v>
      </c>
      <c r="C39" s="304"/>
      <c r="D39" s="304"/>
      <c r="E39" s="304"/>
    </row>
    <row r="40" spans="2:5" ht="12.75">
      <c r="B40" s="302" t="s">
        <v>7</v>
      </c>
      <c r="C40" s="303"/>
      <c r="D40" s="303"/>
      <c r="E40" s="303"/>
    </row>
    <row r="41" spans="2:5" ht="12.75">
      <c r="B41" s="302" t="s">
        <v>9</v>
      </c>
      <c r="C41" s="303"/>
      <c r="D41" s="303"/>
      <c r="E41" s="303"/>
    </row>
    <row r="42" spans="2:5" ht="12.75">
      <c r="B42" s="302" t="s">
        <v>13</v>
      </c>
      <c r="C42" s="303"/>
      <c r="D42" s="303"/>
      <c r="E42" s="303"/>
    </row>
    <row r="43" spans="2:5" ht="25.5" customHeight="1">
      <c r="B43" s="302" t="s">
        <v>167</v>
      </c>
      <c r="C43" s="303"/>
      <c r="D43" s="303"/>
      <c r="E43" s="303"/>
    </row>
    <row r="44" spans="2:5" ht="25.5" customHeight="1">
      <c r="B44" s="302" t="s">
        <v>170</v>
      </c>
      <c r="C44" s="302"/>
      <c r="D44" s="302"/>
      <c r="E44" s="302"/>
    </row>
    <row r="45" spans="2:5" ht="12.75">
      <c r="B45" s="2"/>
      <c r="C45" s="115"/>
      <c r="D45" s="115"/>
      <c r="E45" s="115"/>
    </row>
    <row r="46" spans="1:5" ht="12.75">
      <c r="A46" s="301" t="s">
        <v>16</v>
      </c>
      <c r="B46" s="301"/>
      <c r="C46" s="301"/>
      <c r="D46" s="301"/>
      <c r="E46" s="301"/>
    </row>
    <row r="47" spans="2:5" ht="25.5" customHeight="1">
      <c r="B47" s="306" t="s">
        <v>826</v>
      </c>
      <c r="C47" s="306"/>
      <c r="D47" s="306"/>
      <c r="E47" s="306"/>
    </row>
    <row r="48" spans="2:5" ht="112.5" customHeight="1">
      <c r="B48" s="296" t="s">
        <v>827</v>
      </c>
      <c r="C48" s="296"/>
      <c r="D48" s="296"/>
      <c r="E48" s="296"/>
    </row>
    <row r="49" spans="2:5" ht="39" customHeight="1">
      <c r="B49" s="294" t="s">
        <v>828</v>
      </c>
      <c r="C49" s="297"/>
      <c r="D49" s="297"/>
      <c r="E49" s="297"/>
    </row>
    <row r="50" spans="2:5" ht="51.75" customHeight="1">
      <c r="B50" s="294" t="s">
        <v>788</v>
      </c>
      <c r="C50" s="295"/>
      <c r="D50" s="295"/>
      <c r="E50" s="295"/>
    </row>
    <row r="51" spans="2:5" ht="12.75">
      <c r="B51" s="295" t="s">
        <v>169</v>
      </c>
      <c r="C51" s="295"/>
      <c r="D51" s="295"/>
      <c r="E51" s="295"/>
    </row>
    <row r="52" spans="2:5" ht="102.75" customHeight="1">
      <c r="B52" s="294" t="s">
        <v>789</v>
      </c>
      <c r="C52" s="295"/>
      <c r="D52" s="295"/>
      <c r="E52" s="295"/>
    </row>
    <row r="53" spans="2:5" ht="25.5" customHeight="1">
      <c r="B53" s="296" t="s">
        <v>154</v>
      </c>
      <c r="C53" s="296"/>
      <c r="D53" s="296"/>
      <c r="E53" s="296"/>
    </row>
    <row r="54" spans="2:5" ht="12.75">
      <c r="B54" s="296" t="s">
        <v>157</v>
      </c>
      <c r="C54" s="296"/>
      <c r="D54" s="296"/>
      <c r="E54" s="296"/>
    </row>
    <row r="55" spans="2:5" ht="12.75">
      <c r="B55" s="295" t="s">
        <v>155</v>
      </c>
      <c r="C55" s="295"/>
      <c r="D55" s="295"/>
      <c r="E55" s="295"/>
    </row>
    <row r="56" spans="2:5" ht="12.75">
      <c r="B56" s="295" t="s">
        <v>156</v>
      </c>
      <c r="C56" s="295"/>
      <c r="D56" s="295"/>
      <c r="E56" s="295"/>
    </row>
    <row r="57" spans="2:5" ht="37.5" customHeight="1">
      <c r="B57" s="294" t="s">
        <v>406</v>
      </c>
      <c r="C57" s="294"/>
      <c r="D57" s="294"/>
      <c r="E57" s="294"/>
    </row>
    <row r="58" spans="2:5" ht="12.75">
      <c r="B58" s="295" t="s">
        <v>158</v>
      </c>
      <c r="C58" s="295"/>
      <c r="D58" s="295"/>
      <c r="E58" s="295"/>
    </row>
  </sheetData>
  <mergeCells count="27">
    <mergeCell ref="B42:E42"/>
    <mergeCell ref="B43:E43"/>
    <mergeCell ref="B47:E47"/>
    <mergeCell ref="B44:E44"/>
    <mergeCell ref="D1:E1"/>
    <mergeCell ref="B34:E34"/>
    <mergeCell ref="B35:E35"/>
    <mergeCell ref="B36:E36"/>
    <mergeCell ref="B48:E48"/>
    <mergeCell ref="B49:E49"/>
    <mergeCell ref="A25:B25"/>
    <mergeCell ref="A33:E33"/>
    <mergeCell ref="A46:E46"/>
    <mergeCell ref="B37:E37"/>
    <mergeCell ref="B40:E40"/>
    <mergeCell ref="B38:E38"/>
    <mergeCell ref="B39:E39"/>
    <mergeCell ref="B41:E41"/>
    <mergeCell ref="B58:E58"/>
    <mergeCell ref="B54:E54"/>
    <mergeCell ref="B53:E53"/>
    <mergeCell ref="B55:E55"/>
    <mergeCell ref="B56:E56"/>
    <mergeCell ref="B50:E50"/>
    <mergeCell ref="B51:E51"/>
    <mergeCell ref="B52:E52"/>
    <mergeCell ref="B57:E57"/>
  </mergeCells>
  <printOptions gridLines="1"/>
  <pageMargins left="0.26" right="0.17" top="0.8" bottom="0.56" header="0.5" footer="0.25"/>
  <pageSetup horizontalDpi="600" verticalDpi="600" orientation="portrait"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dimension ref="A1:Q26"/>
  <sheetViews>
    <sheetView workbookViewId="0" topLeftCell="A1">
      <selection activeCell="E5" sqref="E5"/>
    </sheetView>
  </sheetViews>
  <sheetFormatPr defaultColWidth="9.140625" defaultRowHeight="12.75"/>
  <cols>
    <col min="1" max="1" width="18.7109375" style="0" customWidth="1"/>
    <col min="2" max="4" width="20.7109375" style="0" customWidth="1"/>
    <col min="5" max="5" width="11.7109375" style="0" customWidth="1"/>
    <col min="8" max="8" width="29.00390625" style="0" customWidth="1"/>
  </cols>
  <sheetData>
    <row r="1" spans="1:14" s="65" customFormat="1" ht="12.75">
      <c r="A1" s="122"/>
      <c r="B1" s="122" t="s">
        <v>793</v>
      </c>
      <c r="C1" s="122" t="s">
        <v>794</v>
      </c>
      <c r="D1" s="122" t="s">
        <v>681</v>
      </c>
      <c r="E1" s="122" t="s">
        <v>802</v>
      </c>
      <c r="H1" s="122" t="s">
        <v>201</v>
      </c>
      <c r="I1" s="122" t="s">
        <v>187</v>
      </c>
      <c r="J1" s="122" t="s">
        <v>202</v>
      </c>
      <c r="K1" s="122" t="s">
        <v>203</v>
      </c>
      <c r="L1" s="122" t="s">
        <v>204</v>
      </c>
      <c r="N1" s="65" t="s">
        <v>209</v>
      </c>
    </row>
    <row r="2" spans="1:17" ht="12.75">
      <c r="A2" s="123" t="s">
        <v>790</v>
      </c>
      <c r="B2" s="120" t="s">
        <v>791</v>
      </c>
      <c r="C2" s="120" t="s">
        <v>792</v>
      </c>
      <c r="D2" s="120" t="s">
        <v>803</v>
      </c>
      <c r="E2" s="120"/>
      <c r="H2" s="118" t="s">
        <v>205</v>
      </c>
      <c r="I2" s="128"/>
      <c r="J2" s="128"/>
      <c r="K2" s="118"/>
      <c r="L2" s="118"/>
      <c r="N2" t="s">
        <v>210</v>
      </c>
      <c r="O2" t="s">
        <v>211</v>
      </c>
      <c r="P2" t="s">
        <v>212</v>
      </c>
      <c r="Q2" t="s">
        <v>213</v>
      </c>
    </row>
    <row r="3" spans="1:17" ht="12.75">
      <c r="A3" s="123" t="s">
        <v>795</v>
      </c>
      <c r="B3" s="120" t="s">
        <v>796</v>
      </c>
      <c r="C3" s="120" t="s">
        <v>797</v>
      </c>
      <c r="D3" s="120" t="s">
        <v>804</v>
      </c>
      <c r="E3" s="127">
        <f>'Proposed Savings'!E5+'Proposed Savings'!E6</f>
        <v>0.7252345363949999</v>
      </c>
      <c r="H3" s="118" t="s">
        <v>1055</v>
      </c>
      <c r="I3" s="128"/>
      <c r="J3" s="128"/>
      <c r="K3" s="128"/>
      <c r="L3" s="128"/>
      <c r="N3">
        <v>0.7</v>
      </c>
      <c r="P3">
        <v>0.7</v>
      </c>
      <c r="Q3">
        <v>0.88</v>
      </c>
    </row>
    <row r="4" spans="1:17" ht="12.75">
      <c r="A4" s="123" t="s">
        <v>798</v>
      </c>
      <c r="B4" s="120" t="s">
        <v>799</v>
      </c>
      <c r="C4" s="120" t="s">
        <v>800</v>
      </c>
      <c r="D4" s="120" t="s">
        <v>805</v>
      </c>
      <c r="E4" s="127">
        <f>'Proposed Savings'!E8</f>
        <v>0.2888315392573124</v>
      </c>
      <c r="H4" s="118" t="s">
        <v>206</v>
      </c>
      <c r="I4" s="128"/>
      <c r="J4" s="128"/>
      <c r="K4" s="118"/>
      <c r="L4" s="118"/>
      <c r="N4">
        <v>0.8</v>
      </c>
      <c r="O4">
        <v>0.76</v>
      </c>
      <c r="P4">
        <v>0.7</v>
      </c>
      <c r="Q4">
        <v>0.93</v>
      </c>
    </row>
    <row r="5" spans="1:17" ht="12.75">
      <c r="A5" s="123" t="s">
        <v>801</v>
      </c>
      <c r="B5" s="120" t="s">
        <v>183</v>
      </c>
      <c r="C5" s="120" t="s">
        <v>184</v>
      </c>
      <c r="D5" s="120" t="s">
        <v>804</v>
      </c>
      <c r="E5" s="127">
        <f>'Proposed Savings'!E4</f>
        <v>1.275873448244906</v>
      </c>
      <c r="H5" s="118" t="s">
        <v>207</v>
      </c>
      <c r="I5" s="129"/>
      <c r="J5" s="128"/>
      <c r="K5" s="118"/>
      <c r="L5" s="118"/>
      <c r="N5">
        <v>0.9</v>
      </c>
      <c r="P5">
        <v>0.7</v>
      </c>
      <c r="Q5">
        <v>0.95</v>
      </c>
    </row>
    <row r="6" spans="1:17" ht="12.75">
      <c r="A6" s="123" t="s">
        <v>180</v>
      </c>
      <c r="B6" s="120">
        <v>64</v>
      </c>
      <c r="C6" s="124" t="s">
        <v>163</v>
      </c>
      <c r="D6" s="124" t="s">
        <v>181</v>
      </c>
      <c r="E6" s="127"/>
      <c r="H6" s="118" t="s">
        <v>208</v>
      </c>
      <c r="I6" s="118"/>
      <c r="J6" s="128"/>
      <c r="K6" s="128"/>
      <c r="L6" s="118"/>
      <c r="N6">
        <v>1</v>
      </c>
      <c r="O6">
        <v>0.75</v>
      </c>
      <c r="P6">
        <v>0.7</v>
      </c>
      <c r="Q6">
        <v>0.5</v>
      </c>
    </row>
    <row r="7" spans="1:16" ht="12.75">
      <c r="A7" s="123" t="s">
        <v>178</v>
      </c>
      <c r="B7" s="283" t="s">
        <v>786</v>
      </c>
      <c r="C7" s="284"/>
      <c r="D7" s="285"/>
      <c r="E7" s="127">
        <f>0.8*'Proposed Savings'!E9</f>
        <v>0.16845637649174997</v>
      </c>
      <c r="N7">
        <v>1</v>
      </c>
      <c r="O7">
        <v>0.75</v>
      </c>
      <c r="P7">
        <v>0.8</v>
      </c>
    </row>
    <row r="8" spans="1:16" ht="12.75">
      <c r="A8" s="123" t="s">
        <v>179</v>
      </c>
      <c r="B8" s="283" t="s">
        <v>182</v>
      </c>
      <c r="C8" s="284"/>
      <c r="D8" s="285"/>
      <c r="E8" s="127">
        <f>'Proposed Savings'!E11</f>
        <v>0.14497040574562495</v>
      </c>
      <c r="N8">
        <v>1.25</v>
      </c>
      <c r="O8">
        <v>0.78</v>
      </c>
      <c r="P8">
        <v>0.8</v>
      </c>
    </row>
    <row r="9" spans="1:16" ht="25.5" customHeight="1">
      <c r="A9" s="125" t="s">
        <v>197</v>
      </c>
      <c r="B9" s="307" t="s">
        <v>177</v>
      </c>
      <c r="C9" s="308"/>
      <c r="D9" s="309"/>
      <c r="E9" s="126">
        <f>SUM(E2:E8)</f>
        <v>2.6033663061345935</v>
      </c>
      <c r="N9">
        <v>2</v>
      </c>
      <c r="O9">
        <v>0.77</v>
      </c>
      <c r="P9">
        <v>0.8</v>
      </c>
    </row>
    <row r="10" ht="12.75">
      <c r="H10" t="s">
        <v>490</v>
      </c>
    </row>
    <row r="11" spans="1:5" ht="12.75">
      <c r="A11" s="122"/>
      <c r="B11" s="122" t="s">
        <v>793</v>
      </c>
      <c r="C11" s="122" t="s">
        <v>794</v>
      </c>
      <c r="D11" s="122" t="s">
        <v>681</v>
      </c>
      <c r="E11" s="122" t="s">
        <v>802</v>
      </c>
    </row>
    <row r="12" spans="1:5" ht="12.75">
      <c r="A12" s="123" t="s">
        <v>187</v>
      </c>
      <c r="B12" s="120" t="s">
        <v>188</v>
      </c>
      <c r="C12" s="120" t="s">
        <v>189</v>
      </c>
      <c r="D12" s="120" t="s">
        <v>195</v>
      </c>
      <c r="E12" s="120" t="s">
        <v>194</v>
      </c>
    </row>
    <row r="13" spans="1:5" ht="12.75">
      <c r="A13" s="123" t="s">
        <v>709</v>
      </c>
      <c r="B13" s="120" t="s">
        <v>186</v>
      </c>
      <c r="C13" s="120" t="s">
        <v>190</v>
      </c>
      <c r="D13" s="120" t="s">
        <v>196</v>
      </c>
      <c r="E13" s="127">
        <f>-0.4*1.2</f>
        <v>-0.48</v>
      </c>
    </row>
    <row r="14" spans="1:5" ht="12.75">
      <c r="A14" s="123" t="s">
        <v>711</v>
      </c>
      <c r="B14" s="120" t="s">
        <v>186</v>
      </c>
      <c r="C14" s="120" t="s">
        <v>185</v>
      </c>
      <c r="D14" s="120" t="s">
        <v>200</v>
      </c>
      <c r="E14" s="127">
        <f>'Proposed Savings'!E12-E13+'Proposed Savings'!E9*0.05</f>
        <v>3.640528523530734</v>
      </c>
    </row>
    <row r="15" spans="1:5" ht="12.75">
      <c r="A15" s="123" t="s">
        <v>191</v>
      </c>
      <c r="B15" s="120" t="s">
        <v>185</v>
      </c>
      <c r="C15" s="120" t="s">
        <v>185</v>
      </c>
      <c r="D15" s="120"/>
      <c r="E15" s="127"/>
    </row>
    <row r="16" spans="1:5" ht="12.75">
      <c r="A16" s="123" t="s">
        <v>192</v>
      </c>
      <c r="B16" s="120" t="s">
        <v>186</v>
      </c>
      <c r="C16" s="120" t="s">
        <v>185</v>
      </c>
      <c r="D16" s="120" t="s">
        <v>199</v>
      </c>
      <c r="E16" s="127">
        <f>'Proposed Savings'!E13+'Proposed Savings'!E9*0.05</f>
        <v>0.23544303165323432</v>
      </c>
    </row>
    <row r="17" spans="1:5" ht="12.75">
      <c r="A17" s="123" t="s">
        <v>193</v>
      </c>
      <c r="B17" s="120" t="s">
        <v>186</v>
      </c>
      <c r="C17" s="120" t="s">
        <v>186</v>
      </c>
      <c r="D17" s="120"/>
      <c r="E17" s="127"/>
    </row>
    <row r="18" spans="1:5" ht="12.75">
      <c r="A18" s="122" t="s">
        <v>197</v>
      </c>
      <c r="B18" s="283" t="s">
        <v>198</v>
      </c>
      <c r="C18" s="284"/>
      <c r="D18" s="285"/>
      <c r="E18" s="126">
        <f>SUM(E13:E17)</f>
        <v>3.3959715551839684</v>
      </c>
    </row>
    <row r="20" spans="1:5" ht="12.75">
      <c r="A20" s="122"/>
      <c r="B20" s="122" t="s">
        <v>793</v>
      </c>
      <c r="C20" s="122" t="s">
        <v>794</v>
      </c>
      <c r="D20" s="122" t="s">
        <v>681</v>
      </c>
      <c r="E20" s="122" t="s">
        <v>802</v>
      </c>
    </row>
    <row r="21" spans="1:5" ht="12.75">
      <c r="A21" s="123" t="s">
        <v>214</v>
      </c>
      <c r="B21" s="120" t="s">
        <v>215</v>
      </c>
      <c r="C21" s="120" t="s">
        <v>216</v>
      </c>
      <c r="D21" s="120" t="s">
        <v>217</v>
      </c>
      <c r="E21" s="127">
        <f>'Proposed Savings'!E14</f>
        <v>0.3729449752031249</v>
      </c>
    </row>
    <row r="22" spans="1:5" ht="25.5" customHeight="1">
      <c r="A22" s="123" t="s">
        <v>218</v>
      </c>
      <c r="B22" s="124" t="s">
        <v>219</v>
      </c>
      <c r="C22" s="120" t="s">
        <v>220</v>
      </c>
      <c r="D22" s="124" t="s">
        <v>230</v>
      </c>
      <c r="E22" s="127">
        <f>'Proposed Savings'!E17+'Proposed Savings'!E9*0.05</f>
        <v>0.2387580980994843</v>
      </c>
    </row>
    <row r="23" spans="1:5" ht="12.75">
      <c r="A23" s="123" t="s">
        <v>221</v>
      </c>
      <c r="B23" s="120" t="s">
        <v>222</v>
      </c>
      <c r="C23" s="120" t="s">
        <v>223</v>
      </c>
      <c r="D23" s="120" t="s">
        <v>231</v>
      </c>
      <c r="E23" s="127">
        <f>'Proposed Savings'!E15</f>
        <v>0.08032661004374997</v>
      </c>
    </row>
    <row r="24" spans="1:5" ht="12.75">
      <c r="A24" s="123" t="s">
        <v>224</v>
      </c>
      <c r="B24" s="120" t="s">
        <v>225</v>
      </c>
      <c r="C24" s="120" t="s">
        <v>226</v>
      </c>
      <c r="D24" s="120" t="s">
        <v>232</v>
      </c>
      <c r="E24" s="127"/>
    </row>
    <row r="25" spans="1:5" ht="12.75">
      <c r="A25" s="123" t="s">
        <v>227</v>
      </c>
      <c r="B25" s="120" t="s">
        <v>228</v>
      </c>
      <c r="C25" s="120" t="s">
        <v>229</v>
      </c>
      <c r="D25" s="120" t="s">
        <v>503</v>
      </c>
      <c r="E25" s="127">
        <f>'Proposed Savings'!E18+'Proposed Savings'!E9*0.05</f>
        <v>0.06790467356198436</v>
      </c>
    </row>
    <row r="26" spans="1:5" ht="12.75">
      <c r="A26" s="122" t="s">
        <v>197</v>
      </c>
      <c r="B26" s="283"/>
      <c r="C26" s="284"/>
      <c r="D26" s="285"/>
      <c r="E26" s="126">
        <f>SUM(E21:E25)</f>
        <v>0.7599343569083435</v>
      </c>
    </row>
  </sheetData>
  <mergeCells count="5">
    <mergeCell ref="B26:D26"/>
    <mergeCell ref="B9:D9"/>
    <mergeCell ref="B8:D8"/>
    <mergeCell ref="B7:D7"/>
    <mergeCell ref="B18:D18"/>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62"/>
  <sheetViews>
    <sheetView workbookViewId="0" topLeftCell="B1">
      <selection activeCell="J44" sqref="J44"/>
    </sheetView>
  </sheetViews>
  <sheetFormatPr defaultColWidth="9.140625" defaultRowHeight="12.75"/>
  <cols>
    <col min="1" max="1" width="41.7109375" style="0" customWidth="1"/>
    <col min="2" max="2" width="18.00390625" style="0" customWidth="1"/>
    <col min="3" max="3" width="6.57421875" style="0" customWidth="1"/>
    <col min="4" max="4" width="6.00390625" style="0" customWidth="1"/>
    <col min="5" max="8" width="10.7109375" style="0" customWidth="1"/>
    <col min="10" max="10" width="34.00390625" style="0" customWidth="1"/>
    <col min="11" max="14" width="11.7109375" style="0" customWidth="1"/>
  </cols>
  <sheetData>
    <row r="1" spans="1:14" ht="12.75">
      <c r="A1" s="130" t="s">
        <v>253</v>
      </c>
      <c r="B1" s="130" t="s">
        <v>254</v>
      </c>
      <c r="C1" s="131"/>
      <c r="D1" s="130"/>
      <c r="E1" s="132"/>
      <c r="F1" s="132"/>
      <c r="G1" s="132"/>
      <c r="H1" s="132"/>
      <c r="J1" s="64"/>
      <c r="K1" s="64" t="s">
        <v>251</v>
      </c>
      <c r="L1" s="64" t="s">
        <v>252</v>
      </c>
      <c r="M1" s="64" t="s">
        <v>313</v>
      </c>
      <c r="N1" s="64" t="s">
        <v>839</v>
      </c>
    </row>
    <row r="2" spans="1:14" ht="12.75">
      <c r="A2" s="130" t="s">
        <v>255</v>
      </c>
      <c r="B2" s="130" t="s">
        <v>295</v>
      </c>
      <c r="C2" s="131"/>
      <c r="D2" s="130"/>
      <c r="E2" s="130"/>
      <c r="F2" s="130"/>
      <c r="G2" s="130"/>
      <c r="H2" s="130"/>
      <c r="J2" t="s">
        <v>335</v>
      </c>
      <c r="K2" s="66">
        <f>E24</f>
        <v>247702.2092721</v>
      </c>
      <c r="L2" s="66">
        <f>F24</f>
        <v>366295.7171522385</v>
      </c>
      <c r="M2" s="66">
        <f>G24</f>
        <v>28729.70781531839</v>
      </c>
      <c r="N2" s="66">
        <f>H24</f>
        <v>636443.010655056</v>
      </c>
    </row>
    <row r="3" spans="1:14" ht="12.75">
      <c r="A3" s="130" t="s">
        <v>256</v>
      </c>
      <c r="B3" s="310" t="s">
        <v>303</v>
      </c>
      <c r="C3" s="302"/>
      <c r="D3" s="2"/>
      <c r="E3" s="2"/>
      <c r="F3" s="2"/>
      <c r="G3" s="2"/>
      <c r="H3" s="131"/>
      <c r="J3" t="s">
        <v>336</v>
      </c>
      <c r="K3" s="66">
        <f>E29+E41</f>
        <v>409875</v>
      </c>
      <c r="L3" s="66">
        <f>F29+F41</f>
        <v>470911.9641129032</v>
      </c>
      <c r="M3" s="66">
        <f>G29+G41</f>
        <v>0</v>
      </c>
      <c r="N3" s="66">
        <f>H29+H41</f>
        <v>880786.9641129032</v>
      </c>
    </row>
    <row r="4" spans="1:14" ht="12.75">
      <c r="A4" s="130" t="s">
        <v>257</v>
      </c>
      <c r="B4" s="130" t="s">
        <v>258</v>
      </c>
      <c r="C4" s="131"/>
      <c r="D4" s="131"/>
      <c r="E4" s="131"/>
      <c r="F4" s="131"/>
      <c r="G4" s="131"/>
      <c r="H4" s="131"/>
      <c r="J4" t="s">
        <v>338</v>
      </c>
      <c r="K4" s="66">
        <f>K2*$K30+SUM(K9:K12)</f>
        <v>48430.8017133338</v>
      </c>
      <c r="L4" s="66">
        <f>L2*$K30+SUM(L9:L12)</f>
        <v>80018.23585657301</v>
      </c>
      <c r="M4" s="66">
        <f>M2*$K30+SUM(M9:M12)</f>
        <v>5617.240098804489</v>
      </c>
      <c r="N4" s="66">
        <f>SUM(K4:M4)</f>
        <v>134066.2776687113</v>
      </c>
    </row>
    <row r="5" spans="1:14" ht="12.75">
      <c r="A5" s="130" t="s">
        <v>259</v>
      </c>
      <c r="B5" s="133">
        <v>1355408.3392125275</v>
      </c>
      <c r="C5" s="134"/>
      <c r="D5" s="131"/>
      <c r="E5" s="131"/>
      <c r="F5" s="131"/>
      <c r="G5" s="131"/>
      <c r="H5" s="131"/>
      <c r="J5" t="s">
        <v>337</v>
      </c>
      <c r="K5" s="66">
        <f>K2+K3-K4</f>
        <v>609146.4075587662</v>
      </c>
      <c r="L5" s="66">
        <f>L2+L3-L4</f>
        <v>757189.4454085687</v>
      </c>
      <c r="M5" s="66">
        <f>M2+M3-M4</f>
        <v>23112.4677165139</v>
      </c>
      <c r="N5" s="66">
        <f>SUM(K5:M5)</f>
        <v>1389448.3206838488</v>
      </c>
    </row>
    <row r="6" spans="1:8" ht="12.75">
      <c r="A6" s="130"/>
      <c r="B6" s="130"/>
      <c r="C6" s="133"/>
      <c r="D6" s="131"/>
      <c r="E6" s="131"/>
      <c r="F6" s="131"/>
      <c r="G6" s="131"/>
      <c r="H6" s="131"/>
    </row>
    <row r="7" spans="1:8" ht="12.75">
      <c r="A7" s="135"/>
      <c r="B7" s="136"/>
      <c r="C7" s="136"/>
      <c r="D7" s="137"/>
      <c r="E7" s="138" t="s">
        <v>260</v>
      </c>
      <c r="F7" s="138" t="s">
        <v>261</v>
      </c>
      <c r="G7" s="138" t="s">
        <v>314</v>
      </c>
      <c r="H7" s="138" t="s">
        <v>839</v>
      </c>
    </row>
    <row r="8" spans="1:10" ht="25.5" customHeight="1" thickBot="1">
      <c r="A8" s="139" t="s">
        <v>501</v>
      </c>
      <c r="B8" s="140"/>
      <c r="C8" s="141" t="s">
        <v>262</v>
      </c>
      <c r="D8" s="142" t="s">
        <v>500</v>
      </c>
      <c r="E8" s="143" t="s">
        <v>296</v>
      </c>
      <c r="F8" s="143" t="s">
        <v>297</v>
      </c>
      <c r="G8" s="143" t="s">
        <v>315</v>
      </c>
      <c r="H8" s="144"/>
      <c r="J8" t="s">
        <v>321</v>
      </c>
    </row>
    <row r="9" spans="1:12" ht="13.5" thickTop="1">
      <c r="A9" s="135" t="s">
        <v>263</v>
      </c>
      <c r="B9" s="145" t="s">
        <v>264</v>
      </c>
      <c r="C9" s="146"/>
      <c r="D9" s="147"/>
      <c r="E9" s="148"/>
      <c r="F9" s="148"/>
      <c r="G9" s="148"/>
      <c r="H9" s="149"/>
      <c r="J9" t="s">
        <v>340</v>
      </c>
      <c r="L9" s="66">
        <f>10000*0.2</f>
        <v>2000</v>
      </c>
    </row>
    <row r="10" spans="1:12" ht="12.75">
      <c r="A10" s="150" t="s">
        <v>265</v>
      </c>
      <c r="B10" s="151" t="s">
        <v>266</v>
      </c>
      <c r="C10" s="152">
        <v>0.935323076923077</v>
      </c>
      <c r="D10" s="137"/>
      <c r="E10" s="153">
        <v>9140.306805351562</v>
      </c>
      <c r="F10" s="154">
        <v>4460.379459486328</v>
      </c>
      <c r="G10" s="154">
        <v>0</v>
      </c>
      <c r="H10" s="154">
        <v>13600.68626483789</v>
      </c>
      <c r="J10" t="s">
        <v>322</v>
      </c>
      <c r="L10" s="66">
        <v>1000</v>
      </c>
    </row>
    <row r="11" spans="1:12" ht="12.75">
      <c r="A11" s="150" t="s">
        <v>298</v>
      </c>
      <c r="B11" s="151" t="s">
        <v>299</v>
      </c>
      <c r="C11" s="152">
        <v>4.369230769230769</v>
      </c>
      <c r="D11" s="137"/>
      <c r="E11" s="154">
        <v>24236.6178346875</v>
      </c>
      <c r="F11" s="154">
        <v>17285.972652660934</v>
      </c>
      <c r="G11" s="154">
        <v>1011.0398302124997</v>
      </c>
      <c r="H11" s="154">
        <v>42533.630317560936</v>
      </c>
      <c r="J11" t="s">
        <v>341</v>
      </c>
      <c r="L11" s="66">
        <f>9000*0.2</f>
        <v>1800</v>
      </c>
    </row>
    <row r="12" spans="1:12" ht="12.75">
      <c r="A12" s="150" t="s">
        <v>300</v>
      </c>
      <c r="B12" s="151" t="s">
        <v>301</v>
      </c>
      <c r="C12" s="152">
        <v>12.632615384615383</v>
      </c>
      <c r="D12" s="137"/>
      <c r="E12" s="154">
        <v>44308.645363125</v>
      </c>
      <c r="F12" s="154">
        <v>68773.90864379061</v>
      </c>
      <c r="G12" s="154">
        <v>11070.886140826871</v>
      </c>
      <c r="H12" s="154">
        <v>124153.44014774247</v>
      </c>
      <c r="J12" t="s">
        <v>342</v>
      </c>
      <c r="L12" s="66">
        <f>4500*0.8</f>
        <v>3600</v>
      </c>
    </row>
    <row r="13" spans="1:8" ht="12.75">
      <c r="A13" s="155"/>
      <c r="B13" s="156" t="s">
        <v>683</v>
      </c>
      <c r="C13" s="157" t="s">
        <v>683</v>
      </c>
      <c r="D13" s="158"/>
      <c r="E13" s="159"/>
      <c r="F13" s="159"/>
      <c r="G13" s="159"/>
      <c r="H13" s="159">
        <v>0</v>
      </c>
    </row>
    <row r="14" spans="1:10" ht="12.75">
      <c r="A14" s="160" t="s">
        <v>307</v>
      </c>
      <c r="B14" s="161"/>
      <c r="C14" s="152">
        <v>17.93716923076923</v>
      </c>
      <c r="D14" s="137">
        <v>1</v>
      </c>
      <c r="E14" s="162">
        <v>77685.57000316406</v>
      </c>
      <c r="F14" s="162">
        <v>90520.26075593787</v>
      </c>
      <c r="G14" s="162">
        <v>12081.92597103937</v>
      </c>
      <c r="H14" s="162">
        <v>180287.7567301413</v>
      </c>
      <c r="J14" t="s">
        <v>323</v>
      </c>
    </row>
    <row r="15" spans="1:13" ht="12.75">
      <c r="A15" s="135" t="s">
        <v>267</v>
      </c>
      <c r="B15" s="163"/>
      <c r="C15" s="164"/>
      <c r="D15" s="165"/>
      <c r="E15" s="166"/>
      <c r="F15" s="166"/>
      <c r="G15" s="166"/>
      <c r="H15" s="167"/>
      <c r="K15" t="s">
        <v>326</v>
      </c>
      <c r="L15" t="s">
        <v>324</v>
      </c>
      <c r="M15" t="s">
        <v>327</v>
      </c>
    </row>
    <row r="16" spans="1:13" ht="12.75">
      <c r="A16" s="150" t="s">
        <v>302</v>
      </c>
      <c r="B16" s="168"/>
      <c r="C16" s="169" t="s">
        <v>683</v>
      </c>
      <c r="D16" s="137"/>
      <c r="E16" s="153">
        <v>0</v>
      </c>
      <c r="F16" s="153">
        <v>0</v>
      </c>
      <c r="G16" s="154"/>
      <c r="H16" s="154">
        <v>0</v>
      </c>
      <c r="J16" t="s">
        <v>325</v>
      </c>
      <c r="K16">
        <v>1008</v>
      </c>
      <c r="L16" s="22">
        <v>0.2</v>
      </c>
      <c r="M16" s="213">
        <f>K16*L16</f>
        <v>201.60000000000002</v>
      </c>
    </row>
    <row r="17" spans="1:13" ht="12.75">
      <c r="A17" s="150" t="s">
        <v>312</v>
      </c>
      <c r="B17" s="170"/>
      <c r="C17" s="152">
        <v>35.997081318681325</v>
      </c>
      <c r="D17" s="137">
        <v>1</v>
      </c>
      <c r="E17" s="154">
        <v>114566.26708441407</v>
      </c>
      <c r="F17" s="154">
        <v>195648.26826924842</v>
      </c>
      <c r="G17" s="154">
        <v>10363.158259678123</v>
      </c>
      <c r="H17" s="154">
        <v>320577.6936133406</v>
      </c>
      <c r="J17" t="s">
        <v>856</v>
      </c>
      <c r="K17">
        <v>588</v>
      </c>
      <c r="L17" s="212">
        <v>0.2</v>
      </c>
      <c r="M17" s="213">
        <f aca="true" t="shared" si="0" ref="M17:M26">K17*L17</f>
        <v>117.60000000000001</v>
      </c>
    </row>
    <row r="18" spans="1:13" ht="12.75">
      <c r="A18" s="150" t="s">
        <v>268</v>
      </c>
      <c r="B18" s="171"/>
      <c r="C18" s="152"/>
      <c r="D18" s="137"/>
      <c r="E18" s="154">
        <v>0</v>
      </c>
      <c r="F18" s="154">
        <v>0</v>
      </c>
      <c r="G18" s="154"/>
      <c r="H18" s="154">
        <v>0</v>
      </c>
      <c r="J18" t="s">
        <v>248</v>
      </c>
      <c r="K18">
        <v>1254</v>
      </c>
      <c r="L18" s="22">
        <v>0.2</v>
      </c>
      <c r="M18" s="213">
        <f t="shared" si="0"/>
        <v>250.8</v>
      </c>
    </row>
    <row r="19" spans="1:13" ht="12.75">
      <c r="A19" s="150" t="s">
        <v>269</v>
      </c>
      <c r="B19" s="171"/>
      <c r="C19" s="152"/>
      <c r="D19" s="137"/>
      <c r="E19" s="154">
        <v>0</v>
      </c>
      <c r="F19" s="154">
        <v>0</v>
      </c>
      <c r="G19" s="154"/>
      <c r="H19" s="154">
        <v>0</v>
      </c>
      <c r="J19" t="s">
        <v>249</v>
      </c>
      <c r="K19">
        <v>540</v>
      </c>
      <c r="L19" s="22">
        <v>0.1</v>
      </c>
      <c r="M19" s="213">
        <f t="shared" si="0"/>
        <v>54</v>
      </c>
    </row>
    <row r="20" spans="1:13" ht="12.75">
      <c r="A20" s="150" t="s">
        <v>308</v>
      </c>
      <c r="B20" s="171"/>
      <c r="C20" s="152">
        <v>0.2742857142857143</v>
      </c>
      <c r="D20" s="137">
        <v>1</v>
      </c>
      <c r="E20" s="154">
        <v>1265.51390625</v>
      </c>
      <c r="F20" s="154">
        <v>0</v>
      </c>
      <c r="G20" s="154">
        <v>0</v>
      </c>
      <c r="H20" s="154">
        <v>1265.51390625</v>
      </c>
      <c r="J20" t="s">
        <v>250</v>
      </c>
      <c r="K20">
        <v>806</v>
      </c>
      <c r="L20" s="22">
        <v>0.15</v>
      </c>
      <c r="M20" s="213">
        <f t="shared" si="0"/>
        <v>120.89999999999999</v>
      </c>
    </row>
    <row r="21" spans="1:13" ht="12.75">
      <c r="A21" s="155" t="s">
        <v>270</v>
      </c>
      <c r="B21" s="172"/>
      <c r="C21" s="157"/>
      <c r="D21" s="158"/>
      <c r="E21" s="159">
        <v>0</v>
      </c>
      <c r="F21" s="159"/>
      <c r="G21" s="159"/>
      <c r="H21" s="159">
        <v>0</v>
      </c>
      <c r="J21" t="s">
        <v>339</v>
      </c>
      <c r="K21">
        <v>510</v>
      </c>
      <c r="L21" s="22">
        <v>0.15</v>
      </c>
      <c r="M21" s="213">
        <f t="shared" si="0"/>
        <v>76.5</v>
      </c>
    </row>
    <row r="22" spans="1:13" ht="12.75">
      <c r="A22" s="135" t="s">
        <v>519</v>
      </c>
      <c r="B22" s="173"/>
      <c r="C22" s="174"/>
      <c r="D22" s="137"/>
      <c r="E22" s="162">
        <v>193517.35099382812</v>
      </c>
      <c r="F22" s="162">
        <v>286168.5290251863</v>
      </c>
      <c r="G22" s="162">
        <v>22445.084230717493</v>
      </c>
      <c r="H22" s="162">
        <v>502130.9642497319</v>
      </c>
      <c r="J22" t="s">
        <v>328</v>
      </c>
      <c r="K22">
        <v>178</v>
      </c>
      <c r="L22" s="22">
        <v>1</v>
      </c>
      <c r="M22" s="213">
        <f t="shared" si="0"/>
        <v>178</v>
      </c>
    </row>
    <row r="23" spans="1:13" ht="12.75">
      <c r="A23" s="175" t="s">
        <v>271</v>
      </c>
      <c r="B23" s="176"/>
      <c r="C23" s="175"/>
      <c r="D23" s="158">
        <v>2</v>
      </c>
      <c r="E23" s="159">
        <v>54184.85827827188</v>
      </c>
      <c r="F23" s="159">
        <v>80127.18812705217</v>
      </c>
      <c r="G23" s="159">
        <v>6284.6235846008985</v>
      </c>
      <c r="H23" s="159">
        <v>134312.04640532404</v>
      </c>
      <c r="J23" t="s">
        <v>329</v>
      </c>
      <c r="K23">
        <v>120</v>
      </c>
      <c r="L23" s="22">
        <v>0.3</v>
      </c>
      <c r="M23" s="213">
        <f t="shared" si="0"/>
        <v>36</v>
      </c>
    </row>
    <row r="24" spans="1:13" ht="12.75">
      <c r="A24" s="135" t="s">
        <v>520</v>
      </c>
      <c r="B24" s="163"/>
      <c r="C24" s="175"/>
      <c r="D24" s="137"/>
      <c r="E24" s="162">
        <v>247702.2092721</v>
      </c>
      <c r="F24" s="162">
        <v>366295.7171522385</v>
      </c>
      <c r="G24" s="162">
        <v>28729.70781531839</v>
      </c>
      <c r="H24" s="162">
        <v>636443.010655056</v>
      </c>
      <c r="J24" t="s">
        <v>330</v>
      </c>
      <c r="K24">
        <v>84</v>
      </c>
      <c r="L24" s="22">
        <v>1</v>
      </c>
      <c r="M24" s="213">
        <f t="shared" si="0"/>
        <v>84</v>
      </c>
    </row>
    <row r="25" spans="1:13" ht="12.75">
      <c r="A25" s="177" t="s">
        <v>272</v>
      </c>
      <c r="B25" s="178"/>
      <c r="C25" s="179"/>
      <c r="D25" s="165"/>
      <c r="E25" s="166"/>
      <c r="F25" s="166"/>
      <c r="G25" s="166"/>
      <c r="H25" s="167"/>
      <c r="J25" t="s">
        <v>331</v>
      </c>
      <c r="K25">
        <v>60</v>
      </c>
      <c r="L25" s="22">
        <v>1</v>
      </c>
      <c r="M25" s="213">
        <f t="shared" si="0"/>
        <v>60</v>
      </c>
    </row>
    <row r="26" spans="1:13" ht="12.75">
      <c r="A26" s="150" t="s">
        <v>306</v>
      </c>
      <c r="B26" s="173"/>
      <c r="C26" s="174"/>
      <c r="D26" s="137">
        <v>3</v>
      </c>
      <c r="E26" s="154">
        <v>395000</v>
      </c>
      <c r="F26" s="154">
        <v>395000</v>
      </c>
      <c r="G26" s="154">
        <v>0</v>
      </c>
      <c r="H26" s="153">
        <v>790000</v>
      </c>
      <c r="J26" t="s">
        <v>332</v>
      </c>
      <c r="K26">
        <v>588</v>
      </c>
      <c r="L26" s="22">
        <v>0.8</v>
      </c>
      <c r="M26" s="213">
        <f t="shared" si="0"/>
        <v>470.40000000000003</v>
      </c>
    </row>
    <row r="27" spans="1:13" ht="12.75">
      <c r="A27" s="150" t="s">
        <v>311</v>
      </c>
      <c r="B27" s="173"/>
      <c r="C27" s="180"/>
      <c r="D27" s="170"/>
      <c r="E27" s="181">
        <v>8000</v>
      </c>
      <c r="F27" s="154">
        <v>0</v>
      </c>
      <c r="G27" s="154">
        <v>0</v>
      </c>
      <c r="H27" s="154">
        <v>8000</v>
      </c>
      <c r="J27" s="215" t="s">
        <v>837</v>
      </c>
      <c r="L27" s="22"/>
      <c r="M27" s="213">
        <f>SUM(M16:M26)</f>
        <v>1649.8000000000002</v>
      </c>
    </row>
    <row r="28" spans="1:8" ht="12.75">
      <c r="A28" s="150" t="s">
        <v>310</v>
      </c>
      <c r="B28" s="173"/>
      <c r="C28" s="180"/>
      <c r="D28" s="176"/>
      <c r="E28" s="154">
        <v>0</v>
      </c>
      <c r="F28" s="159">
        <v>6000</v>
      </c>
      <c r="G28" s="159">
        <v>0</v>
      </c>
      <c r="H28" s="159">
        <v>6000</v>
      </c>
    </row>
    <row r="29" spans="1:11" ht="12.75">
      <c r="A29" s="182" t="s">
        <v>273</v>
      </c>
      <c r="B29" s="178"/>
      <c r="C29" s="183"/>
      <c r="D29" s="184"/>
      <c r="E29" s="185">
        <v>403000</v>
      </c>
      <c r="F29" s="185">
        <v>401000</v>
      </c>
      <c r="G29" s="185">
        <v>0</v>
      </c>
      <c r="H29" s="185">
        <v>804000</v>
      </c>
      <c r="J29" t="s">
        <v>333</v>
      </c>
      <c r="K29" s="214">
        <v>8438</v>
      </c>
    </row>
    <row r="30" spans="1:11" ht="12.75">
      <c r="A30" s="174" t="s">
        <v>274</v>
      </c>
      <c r="B30" s="173"/>
      <c r="C30" s="174"/>
      <c r="D30" s="137"/>
      <c r="E30" s="154"/>
      <c r="F30" s="154"/>
      <c r="G30" s="154"/>
      <c r="H30" s="154"/>
      <c r="J30" t="s">
        <v>334</v>
      </c>
      <c r="K30" s="22">
        <f>M27/K29</f>
        <v>0.1955202654657502</v>
      </c>
    </row>
    <row r="31" spans="1:8" ht="12.75">
      <c r="A31" s="150" t="s">
        <v>275</v>
      </c>
      <c r="B31" s="170"/>
      <c r="C31" s="174"/>
      <c r="D31" s="137">
        <v>4</v>
      </c>
      <c r="E31" s="154">
        <v>1000</v>
      </c>
      <c r="F31" s="154">
        <v>0</v>
      </c>
      <c r="G31" s="154">
        <v>0</v>
      </c>
      <c r="H31" s="154">
        <v>1000</v>
      </c>
    </row>
    <row r="32" spans="1:10" ht="12.75">
      <c r="A32" s="150" t="s">
        <v>276</v>
      </c>
      <c r="B32" s="170"/>
      <c r="C32" s="174"/>
      <c r="D32" s="137">
        <v>5</v>
      </c>
      <c r="E32" s="154">
        <v>0</v>
      </c>
      <c r="F32" s="154">
        <v>10000</v>
      </c>
      <c r="G32" s="154">
        <v>0</v>
      </c>
      <c r="H32" s="154">
        <v>10000</v>
      </c>
      <c r="J32" t="s">
        <v>343</v>
      </c>
    </row>
    <row r="33" spans="1:10" ht="12.75">
      <c r="A33" s="174" t="s">
        <v>277</v>
      </c>
      <c r="B33" s="173"/>
      <c r="C33" s="174"/>
      <c r="D33" s="137"/>
      <c r="E33" s="154"/>
      <c r="F33" s="154"/>
      <c r="G33" s="154"/>
      <c r="H33" s="154">
        <v>0</v>
      </c>
      <c r="J33" t="s">
        <v>344</v>
      </c>
    </row>
    <row r="34" spans="1:10" ht="12.75">
      <c r="A34" s="135" t="s">
        <v>278</v>
      </c>
      <c r="B34" s="178"/>
      <c r="C34" s="179"/>
      <c r="D34" s="184"/>
      <c r="E34" s="186"/>
      <c r="F34" s="186"/>
      <c r="G34" s="186"/>
      <c r="H34" s="186">
        <v>0</v>
      </c>
      <c r="J34" t="s">
        <v>345</v>
      </c>
    </row>
    <row r="35" spans="1:8" ht="12.75">
      <c r="A35" s="150" t="s">
        <v>279</v>
      </c>
      <c r="B35" s="187"/>
      <c r="C35" s="174"/>
      <c r="D35" s="137"/>
      <c r="E35" s="154">
        <v>6875</v>
      </c>
      <c r="F35" s="154">
        <v>65125</v>
      </c>
      <c r="G35" s="154">
        <v>0</v>
      </c>
      <c r="H35" s="154">
        <v>72000</v>
      </c>
    </row>
    <row r="36" spans="1:8" ht="12.75">
      <c r="A36" s="150" t="s">
        <v>280</v>
      </c>
      <c r="B36" s="188"/>
      <c r="C36" s="189"/>
      <c r="D36" s="190"/>
      <c r="E36" s="154">
        <v>0</v>
      </c>
      <c r="F36" s="154">
        <v>0</v>
      </c>
      <c r="G36" s="154"/>
      <c r="H36" s="154">
        <v>0</v>
      </c>
    </row>
    <row r="37" spans="1:8" ht="12.75">
      <c r="A37" s="191" t="s">
        <v>281</v>
      </c>
      <c r="B37" s="192"/>
      <c r="C37" s="174"/>
      <c r="D37" s="137"/>
      <c r="E37" s="154">
        <v>0</v>
      </c>
      <c r="F37" s="154">
        <v>0</v>
      </c>
      <c r="G37" s="154"/>
      <c r="H37" s="154">
        <v>0</v>
      </c>
    </row>
    <row r="38" spans="1:8" ht="12.75">
      <c r="A38" s="191" t="s">
        <v>282</v>
      </c>
      <c r="B38" s="192"/>
      <c r="C38" s="174"/>
      <c r="D38" s="137"/>
      <c r="E38" s="154">
        <v>0</v>
      </c>
      <c r="F38" s="154">
        <v>0</v>
      </c>
      <c r="G38" s="154"/>
      <c r="H38" s="154">
        <v>0</v>
      </c>
    </row>
    <row r="39" spans="1:8" ht="12.75">
      <c r="A39" s="191" t="s">
        <v>283</v>
      </c>
      <c r="B39" s="192"/>
      <c r="C39" s="174"/>
      <c r="D39" s="137"/>
      <c r="E39" s="154">
        <v>0</v>
      </c>
      <c r="F39" s="154">
        <v>0</v>
      </c>
      <c r="G39" s="154"/>
      <c r="H39" s="154">
        <v>0</v>
      </c>
    </row>
    <row r="40" spans="1:8" ht="12.75">
      <c r="A40" s="193" t="s">
        <v>284</v>
      </c>
      <c r="B40" s="194" t="s">
        <v>304</v>
      </c>
      <c r="C40" s="175"/>
      <c r="D40" s="158"/>
      <c r="E40" s="159">
        <v>0</v>
      </c>
      <c r="F40" s="159">
        <v>4786.964112903225</v>
      </c>
      <c r="G40" s="159">
        <v>0</v>
      </c>
      <c r="H40" s="159">
        <v>4786.964112903225</v>
      </c>
    </row>
    <row r="41" spans="1:8" ht="12.75">
      <c r="A41" s="195" t="s">
        <v>285</v>
      </c>
      <c r="B41" s="163"/>
      <c r="C41" s="175"/>
      <c r="D41" s="158"/>
      <c r="E41" s="196">
        <v>6875</v>
      </c>
      <c r="F41" s="196">
        <v>69911.96411290322</v>
      </c>
      <c r="G41" s="196">
        <v>0</v>
      </c>
      <c r="H41" s="196">
        <v>76786.96411290322</v>
      </c>
    </row>
    <row r="42" spans="1:8" ht="12.75">
      <c r="A42" s="177" t="s">
        <v>286</v>
      </c>
      <c r="B42" s="163"/>
      <c r="C42" s="175"/>
      <c r="D42" s="184"/>
      <c r="E42" s="185">
        <v>658577.2092721</v>
      </c>
      <c r="F42" s="185">
        <v>847207.6812651417</v>
      </c>
      <c r="G42" s="185">
        <v>28729.70781531839</v>
      </c>
      <c r="H42" s="185">
        <v>1534514.59835256</v>
      </c>
    </row>
    <row r="43" spans="1:8" ht="12.75">
      <c r="A43" s="135" t="s">
        <v>287</v>
      </c>
      <c r="B43" s="168"/>
      <c r="C43" s="197"/>
      <c r="D43" s="137"/>
      <c r="E43" s="162"/>
      <c r="F43" s="162"/>
      <c r="G43" s="162"/>
      <c r="H43" s="162"/>
    </row>
    <row r="44" spans="1:8" ht="12.75">
      <c r="A44" s="150" t="s">
        <v>288</v>
      </c>
      <c r="B44" s="170"/>
      <c r="C44" s="198"/>
      <c r="D44" s="137">
        <v>6</v>
      </c>
      <c r="E44" s="154">
        <v>255577.2092721</v>
      </c>
      <c r="F44" s="154">
        <v>446207.6812651417</v>
      </c>
      <c r="G44" s="154">
        <v>28729.70781531839</v>
      </c>
      <c r="H44" s="154">
        <v>730514.5983525601</v>
      </c>
    </row>
    <row r="45" spans="1:8" ht="12.75">
      <c r="A45" s="155" t="s">
        <v>289</v>
      </c>
      <c r="B45" s="199"/>
      <c r="C45" s="200">
        <v>0.55</v>
      </c>
      <c r="D45" s="158"/>
      <c r="E45" s="159"/>
      <c r="F45" s="159"/>
      <c r="G45" s="159"/>
      <c r="H45" s="159"/>
    </row>
    <row r="46" spans="1:8" ht="12.75">
      <c r="A46" s="195" t="s">
        <v>290</v>
      </c>
      <c r="B46" s="178"/>
      <c r="C46" s="201"/>
      <c r="D46" s="202"/>
      <c r="E46" s="185">
        <v>140567.465099655</v>
      </c>
      <c r="F46" s="185">
        <v>245414.22469582796</v>
      </c>
      <c r="G46" s="185">
        <v>15801.339298425117</v>
      </c>
      <c r="H46" s="185">
        <v>401783.0290939081</v>
      </c>
    </row>
    <row r="47" spans="1:8" ht="12.75">
      <c r="A47" s="135" t="s">
        <v>291</v>
      </c>
      <c r="B47" s="168"/>
      <c r="C47" s="203"/>
      <c r="D47" s="137"/>
      <c r="E47" s="162">
        <v>799144.674371755</v>
      </c>
      <c r="F47" s="162">
        <v>1092621.9059609696</v>
      </c>
      <c r="G47" s="162">
        <v>44531.04711374351</v>
      </c>
      <c r="H47" s="162">
        <v>1936297.6274464682</v>
      </c>
    </row>
    <row r="48" spans="1:8" ht="12.75">
      <c r="A48" s="175" t="s">
        <v>292</v>
      </c>
      <c r="B48" s="176"/>
      <c r="C48" s="175"/>
      <c r="D48" s="158"/>
      <c r="E48" s="159">
        <v>0</v>
      </c>
      <c r="F48" s="159">
        <v>0</v>
      </c>
      <c r="G48" s="159">
        <v>0</v>
      </c>
      <c r="H48" s="159">
        <v>0</v>
      </c>
    </row>
    <row r="49" spans="1:8" ht="12.75">
      <c r="A49" s="135" t="s">
        <v>293</v>
      </c>
      <c r="B49" s="170"/>
      <c r="C49" s="174"/>
      <c r="D49" s="136"/>
      <c r="E49" s="162">
        <v>559401.2720602284</v>
      </c>
      <c r="F49" s="162">
        <v>764835.3341726786</v>
      </c>
      <c r="G49" s="162">
        <v>31171.732979620454</v>
      </c>
      <c r="H49" s="162">
        <v>1355408.3392125275</v>
      </c>
    </row>
    <row r="50" spans="1:8" ht="12.75">
      <c r="A50" s="204" t="s">
        <v>294</v>
      </c>
      <c r="B50" s="205"/>
      <c r="C50" s="206"/>
      <c r="D50" s="207">
        <v>7</v>
      </c>
      <c r="E50" s="208">
        <v>240000</v>
      </c>
      <c r="F50" s="208">
        <v>328000</v>
      </c>
      <c r="G50" s="208">
        <v>13000</v>
      </c>
      <c r="H50" s="208">
        <v>581000</v>
      </c>
    </row>
    <row r="51" spans="1:8" ht="12.75">
      <c r="A51" s="131"/>
      <c r="B51" s="131"/>
      <c r="C51" s="131"/>
      <c r="D51" s="130"/>
      <c r="E51" s="130"/>
      <c r="F51" s="130"/>
      <c r="G51" s="130"/>
      <c r="H51" s="131"/>
    </row>
    <row r="52" spans="1:8" ht="12.75">
      <c r="A52" s="131" t="s">
        <v>500</v>
      </c>
      <c r="B52" s="131"/>
      <c r="C52" s="131"/>
      <c r="D52" s="131"/>
      <c r="E52" s="131"/>
      <c r="F52" s="131"/>
      <c r="G52" s="131"/>
      <c r="H52" s="131"/>
    </row>
    <row r="53" spans="1:8" ht="12.75">
      <c r="A53" s="131" t="s">
        <v>305</v>
      </c>
      <c r="B53" s="131"/>
      <c r="C53" s="134"/>
      <c r="D53" s="134"/>
      <c r="E53" s="209"/>
      <c r="F53" s="134"/>
      <c r="G53" s="134"/>
      <c r="H53" s="134"/>
    </row>
    <row r="54" spans="1:8" ht="12.75">
      <c r="A54" s="131" t="s">
        <v>316</v>
      </c>
      <c r="B54" s="131"/>
      <c r="C54" s="131"/>
      <c r="D54" s="134"/>
      <c r="E54" s="134"/>
      <c r="F54" s="134"/>
      <c r="G54" s="134"/>
      <c r="H54" s="134"/>
    </row>
    <row r="55" spans="1:8" ht="12.75">
      <c r="A55" s="131" t="s">
        <v>309</v>
      </c>
      <c r="B55" s="131"/>
      <c r="C55" s="131"/>
      <c r="D55" s="134"/>
      <c r="E55" s="134"/>
      <c r="F55" s="134"/>
      <c r="G55" s="134"/>
      <c r="H55" s="134"/>
    </row>
    <row r="56" spans="1:8" ht="12.75">
      <c r="A56" s="210" t="s">
        <v>318</v>
      </c>
      <c r="B56" s="131"/>
      <c r="C56" s="131"/>
      <c r="D56" s="131"/>
      <c r="E56" s="131"/>
      <c r="F56" s="131"/>
      <c r="G56" s="131"/>
      <c r="H56" s="131"/>
    </row>
    <row r="57" spans="1:8" ht="12.75">
      <c r="A57" s="131" t="s">
        <v>317</v>
      </c>
      <c r="B57" s="131"/>
      <c r="C57" s="131"/>
      <c r="D57" s="131"/>
      <c r="E57" s="131"/>
      <c r="F57" s="131"/>
      <c r="G57" s="131"/>
      <c r="H57" s="131"/>
    </row>
    <row r="58" spans="1:8" ht="12.75">
      <c r="A58" s="210" t="s">
        <v>319</v>
      </c>
      <c r="B58" s="131"/>
      <c r="C58" s="131"/>
      <c r="D58" s="131"/>
      <c r="E58" s="131"/>
      <c r="F58" s="131"/>
      <c r="G58" s="131"/>
      <c r="H58" s="131"/>
    </row>
    <row r="59" spans="1:8" ht="12.75">
      <c r="A59" s="131" t="s">
        <v>320</v>
      </c>
      <c r="B59" s="131"/>
      <c r="C59" s="131"/>
      <c r="D59" s="131"/>
      <c r="E59" s="131"/>
      <c r="F59" s="131"/>
      <c r="G59" s="131"/>
      <c r="H59" s="131"/>
    </row>
    <row r="61" spans="1:8" ht="12.75">
      <c r="A61" s="131"/>
      <c r="B61" s="131"/>
      <c r="C61" s="131"/>
      <c r="D61" s="131"/>
      <c r="E61" s="131"/>
      <c r="F61" s="131"/>
      <c r="G61" s="131"/>
      <c r="H61" s="131"/>
    </row>
    <row r="62" spans="1:8" ht="12.75">
      <c r="A62" s="131"/>
      <c r="B62" s="211"/>
      <c r="C62" s="131"/>
      <c r="D62" s="131"/>
      <c r="E62" s="131"/>
      <c r="F62" s="131"/>
      <c r="G62" s="131"/>
      <c r="H62" s="131"/>
    </row>
  </sheetData>
  <mergeCells count="1">
    <mergeCell ref="B3:C3"/>
  </mergeCells>
  <printOptions/>
  <pageMargins left="0.5" right="0.21" top="1" bottom="1" header="0.5" footer="0.5"/>
  <pageSetup fitToWidth="2" fitToHeight="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peterw</dc:creator>
  <cp:keywords/>
  <dc:description/>
  <cp:lastModifiedBy>peterw</cp:lastModifiedBy>
  <cp:lastPrinted>2009-02-25T22:11:19Z</cp:lastPrinted>
  <dcterms:created xsi:type="dcterms:W3CDTF">2008-12-03T02:12:39Z</dcterms:created>
  <dcterms:modified xsi:type="dcterms:W3CDTF">2009-03-12T04:23:24Z</dcterms:modified>
  <cp:category/>
  <cp:version/>
  <cp:contentType/>
  <cp:contentStatus/>
</cp:coreProperties>
</file>