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ummary" sheetId="1" r:id="rId1"/>
    <sheet name="Trans_PNS" sheetId="2" r:id="rId2"/>
    <sheet name="Trans_central" sheetId="3" r:id="rId3"/>
    <sheet name="RMSwfe PNS" sheetId="4" r:id="rId4"/>
    <sheet name="RMSwfe central" sheetId="5" r:id="rId5"/>
  </sheets>
  <definedNames/>
  <calcPr fullCalcOnLoad="1"/>
</workbook>
</file>

<file path=xl/sharedStrings.xml><?xml version="1.0" encoding="utf-8"?>
<sst xmlns="http://schemas.openxmlformats.org/spreadsheetml/2006/main" count="432" uniqueCount="143">
  <si>
    <t>Element Name</t>
  </si>
  <si>
    <t>Number of Surfaces</t>
  </si>
  <si>
    <t>Transmission</t>
  </si>
  <si>
    <t>Comments</t>
  </si>
  <si>
    <t>Mirror inside Laser Enclosure</t>
  </si>
  <si>
    <t xml:space="preserve">May not need </t>
  </si>
  <si>
    <t xml:space="preserve"> </t>
  </si>
  <si>
    <t>Located at top of Telescope tube (Just outside Secondary Support Structure</t>
  </si>
  <si>
    <t>Located inside secondary socket</t>
  </si>
  <si>
    <t>1/4 Wave Plate</t>
  </si>
  <si>
    <t>Launch Tel. Secondary</t>
  </si>
  <si>
    <t>Launch Tel. Primary</t>
  </si>
  <si>
    <t>Launch Tel. Output Win.</t>
  </si>
  <si>
    <t>Launch Tel. Input Win.</t>
  </si>
  <si>
    <t>Power lost in sec. obstruction of launch telescope 4.5%</t>
  </si>
  <si>
    <t>r0</t>
  </si>
  <si>
    <t>Reflec./Trans. per Surface</t>
  </si>
  <si>
    <t>K Mirror assembly</t>
  </si>
  <si>
    <t>Astr. Gen. B.S. 1</t>
  </si>
  <si>
    <t>Represents loss in beam splitter (50/50 splitter)</t>
  </si>
  <si>
    <t>LGS Beam Transport System</t>
  </si>
  <si>
    <t>% Cont.</t>
  </si>
  <si>
    <t>RMS WFE (nm)</t>
  </si>
  <si>
    <t>Launch Tel. Tertiary</t>
  </si>
  <si>
    <t>TOTAL Transmission loss</t>
  </si>
  <si>
    <t>Astr. Gen. Mirror 1</t>
  </si>
  <si>
    <t xml:space="preserve">Error budget estimate = sqrt(sumsq(E34:E:38)) </t>
  </si>
  <si>
    <t>Optical component contribution to RMS WFE</t>
  </si>
  <si>
    <t>Assuming Median (Check 75%,25% cases)</t>
  </si>
  <si>
    <t>radian^2</t>
  </si>
  <si>
    <t>m</t>
  </si>
  <si>
    <t xml:space="preserve">m (at 500 nm) </t>
  </si>
  <si>
    <t>m (at 589 nm)</t>
  </si>
  <si>
    <t>Laser Launch Tel 1/e2 diam</t>
  </si>
  <si>
    <t>WFE (nm)</t>
  </si>
  <si>
    <t>RMS WFE (radians)</t>
  </si>
  <si>
    <t>Total RMS WFE (nm)</t>
  </si>
  <si>
    <t>Total Strehl</t>
  </si>
  <si>
    <t>Laser Unit contribution to RMS WFE</t>
  </si>
  <si>
    <t>nm</t>
  </si>
  <si>
    <t>RMS WFE</t>
  </si>
  <si>
    <t>r0 =50%</t>
  </si>
  <si>
    <t>Use 1/e2 and full diameter of launch telescope</t>
  </si>
  <si>
    <t>Closest Na layer distance 90 km -4.1 km</t>
  </si>
  <si>
    <t>Beam at Na layer is M^2 times diffraction limited</t>
  </si>
  <si>
    <t>(FWHM) Spot size at Na layer (arc seconds)</t>
  </si>
  <si>
    <t>1/e2  (m)</t>
  </si>
  <si>
    <t>FWHM = 0.59*1/e2 (m)</t>
  </si>
  <si>
    <t>Should use resided Noll for gaussian beam or Fresnel propagation</t>
  </si>
  <si>
    <t xml:space="preserve">RMS Wavefront error budget for full optical path (3+1) Science LGS </t>
  </si>
  <si>
    <t>Noll residual (Noll 1976)</t>
  </si>
  <si>
    <t>minimum range to Na layer (m)</t>
  </si>
  <si>
    <t xml:space="preserve">Spec from Dekany </t>
  </si>
  <si>
    <t>Per Optic</t>
  </si>
  <si>
    <t>Assume that LGS WFS fast frame rate so no residual tip/tilt blurring</t>
  </si>
  <si>
    <t>arc sec</t>
  </si>
  <si>
    <t>This number is the goal from higher level NGAO error budgets</t>
  </si>
  <si>
    <t>Mirror inside Laser Enclosure (lambda/20 PV -&gt; lambda/100 rms)</t>
  </si>
  <si>
    <t>Atmospheric Contribution</t>
  </si>
  <si>
    <t>Located at top of Telescope tube (Just outside top ring)</t>
  </si>
  <si>
    <t>Number for KI LGS LLT optical RMS WFE~60 nm</t>
  </si>
  <si>
    <t>87.5% (excellent)</t>
  </si>
  <si>
    <t>37.5% (Challenging)</t>
  </si>
  <si>
    <t>Based on ESO requirement for Laser Units</t>
  </si>
  <si>
    <t>Final number</t>
  </si>
  <si>
    <t>r0 =87.5%</t>
  </si>
  <si>
    <t>r0 =37.5%</t>
  </si>
  <si>
    <t xml:space="preserve">Use Noll residual for tip-tilt removed wavefront error, include focus, astig., coma, spheric., etc. </t>
  </si>
  <si>
    <t>Uplink atmospheric component is seeing depended</t>
  </si>
  <si>
    <t>total M^2 (~1/sqrt(Strehl) )</t>
  </si>
  <si>
    <t>Assumes beam is still ~ gaussian</t>
  </si>
  <si>
    <t>(FWHM) Spot size at Na layer (arc seconds) source Dekany</t>
  </si>
  <si>
    <t>Beam Expander Telescope Lens 1</t>
  </si>
  <si>
    <t>Beam Expander Telescope Lens 2</t>
  </si>
  <si>
    <t>Global TT mirror</t>
  </si>
  <si>
    <t>BTOB fold</t>
  </si>
  <si>
    <t>Astr. Gen. Pupil Imaging lens</t>
  </si>
  <si>
    <t>Astr. Gen. Negative lens</t>
  </si>
  <si>
    <t>Astr. Gen. B.S. 2</t>
  </si>
  <si>
    <t>Mirror reflectivity</t>
  </si>
  <si>
    <t>Lens AR transmission</t>
  </si>
  <si>
    <t xml:space="preserve">Transmission Budget for full optical path PNS LGS </t>
  </si>
  <si>
    <t>Top Ring Mirror 1</t>
  </si>
  <si>
    <t>Top Ring Mirror 2</t>
  </si>
  <si>
    <t>Laser Enc. Laser 1 Mirror</t>
  </si>
  <si>
    <t>Laser Enc. Steering Mirror</t>
  </si>
  <si>
    <t>Asterism fold mirror</t>
  </si>
  <si>
    <t>PV error (waves)</t>
  </si>
  <si>
    <t>Beam Expander Telescope Design</t>
  </si>
  <si>
    <t>No LTA</t>
  </si>
  <si>
    <t>1/2 Wave Plate</t>
  </si>
  <si>
    <t>Polarization control</t>
  </si>
  <si>
    <t>Sec. Socket Mirror 1</t>
  </si>
  <si>
    <t>Sec. Socket Mirror 2</t>
  </si>
  <si>
    <t>Astr. Gen. Mirror 2</t>
  </si>
  <si>
    <t>Astr. Gen. Mirror 3</t>
  </si>
  <si>
    <t>Fold</t>
  </si>
  <si>
    <t>Launch Tel. Output Win. Surf 1</t>
  </si>
  <si>
    <t>Launch Tel. Output Win. Surf 2</t>
  </si>
  <si>
    <t>LLT Secondary Obscuration</t>
  </si>
  <si>
    <t>Fold between Asterism Generator and K mirror</t>
  </si>
  <si>
    <t>Fold down through hole in BTOB to LTA</t>
  </si>
  <si>
    <t>From Galileo Avionica K1 LTA report</t>
  </si>
  <si>
    <t>Pupil imaging lens</t>
  </si>
  <si>
    <t>Mirror Reflectivity</t>
  </si>
  <si>
    <t>Lens Transmission</t>
  </si>
  <si>
    <t>Overall Transmission</t>
  </si>
  <si>
    <t>Transmission Summary</t>
  </si>
  <si>
    <t>Wavefront Error Summary</t>
  </si>
  <si>
    <t>Beamsplitter</t>
  </si>
  <si>
    <t>Ion beam coating can give 0.999, Standard laser line "V" coating gives 0.995</t>
  </si>
  <si>
    <t>High performance coating = 0.9975, Conservative 0.99 to 0.995</t>
  </si>
  <si>
    <r>
      <t>PV (</t>
    </r>
    <r>
      <rPr>
        <b/>
        <sz val="10"/>
        <rFont val="Arial"/>
        <family val="0"/>
      </rPr>
      <t>λ</t>
    </r>
    <r>
      <rPr>
        <b/>
        <sz val="10"/>
        <rFont val="Arial"/>
        <family val="2"/>
      </rPr>
      <t xml:space="preserve"> @ 632.8 nm)</t>
    </r>
  </si>
  <si>
    <t>RMS (nm)</t>
  </si>
  <si>
    <t>Beam Expander Design, on-axis (3+1)</t>
  </si>
  <si>
    <t>Beam Expander Design, off-axis (PNS)</t>
  </si>
  <si>
    <t>Lens figure</t>
  </si>
  <si>
    <t>Mirror figure</t>
  </si>
  <si>
    <t>PNS</t>
  </si>
  <si>
    <t>Overal Performance</t>
  </si>
  <si>
    <t>Spot Size (arcsec)</t>
  </si>
  <si>
    <t>3+1</t>
  </si>
  <si>
    <t>WFE, no LTA (nm)</t>
  </si>
  <si>
    <t>Total WFE (nm)</t>
  </si>
  <si>
    <t>Assumed Surface Values</t>
  </si>
  <si>
    <t>Assumed Coating Values</t>
  </si>
  <si>
    <t>Beamsplitter figure</t>
  </si>
  <si>
    <t>Lens figure, rms nm</t>
  </si>
  <si>
    <t>Mirror figure, rms nm</t>
  </si>
  <si>
    <t>Beamsplitter figure, rms nm</t>
  </si>
  <si>
    <t>Per surface</t>
  </si>
  <si>
    <t>Approx % Cont.</t>
  </si>
  <si>
    <t>Negative lens</t>
  </si>
  <si>
    <t>nm RMS</t>
  </si>
  <si>
    <t>1/e2 beam size at 85km (m)</t>
  </si>
  <si>
    <t>Assume 7.8 cm waist @ 120km:  max size @ 85km, smaller over rest of range</t>
  </si>
  <si>
    <t>Conservative assumption that RMS = PV/3</t>
  </si>
  <si>
    <t>Nominal design:  19.0 nm;  More expensive:  4.4 nm</t>
  </si>
  <si>
    <t>Nominal design:  33.5 nm;  More expensive:  7.5 nm</t>
  </si>
  <si>
    <t xml:space="preserve">Color Code </t>
  </si>
  <si>
    <t>Key Results</t>
  </si>
  <si>
    <t xml:space="preserve">Key Inputs </t>
  </si>
  <si>
    <t>Requirement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</si>
</sst>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165" fontId="0" fillId="2" borderId="0" xfId="0" applyNumberFormat="1" applyFill="1" applyAlignment="1">
      <alignment/>
    </xf>
    <xf numFmtId="0" fontId="0" fillId="3" borderId="0" xfId="0" applyFill="1" applyAlignment="1">
      <alignment/>
    </xf>
    <xf numFmtId="2" fontId="0" fillId="4" borderId="0" xfId="0" applyNumberFormat="1" applyFill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6" fontId="0" fillId="4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6" fontId="0" fillId="5" borderId="0" xfId="0" applyNumberFormat="1" applyFill="1" applyAlignment="1">
      <alignment/>
    </xf>
    <xf numFmtId="166" fontId="0" fillId="3" borderId="0" xfId="0" applyNumberFormat="1" applyFill="1" applyAlignment="1">
      <alignment/>
    </xf>
    <xf numFmtId="2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7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4" borderId="6" xfId="0" applyFill="1" applyBorder="1" applyAlignment="1">
      <alignment/>
    </xf>
    <xf numFmtId="0" fontId="0" fillId="6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0" fillId="6" borderId="0" xfId="0" applyNumberFormat="1" applyFill="1" applyAlignment="1">
      <alignment/>
    </xf>
    <xf numFmtId="166" fontId="0" fillId="4" borderId="10" xfId="0" applyNumberFormat="1" applyFill="1" applyBorder="1" applyAlignment="1">
      <alignment/>
    </xf>
    <xf numFmtId="2" fontId="0" fillId="4" borderId="10" xfId="0" applyNumberFormat="1" applyFill="1" applyBorder="1" applyAlignment="1">
      <alignment/>
    </xf>
    <xf numFmtId="166" fontId="0" fillId="4" borderId="11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164" fontId="0" fillId="4" borderId="10" xfId="0" applyNumberFormat="1" applyFill="1" applyBorder="1" applyAlignment="1">
      <alignment/>
    </xf>
    <xf numFmtId="164" fontId="0" fillId="4" borderId="11" xfId="0" applyNumberFormat="1" applyFill="1" applyBorder="1" applyAlignment="1">
      <alignment/>
    </xf>
    <xf numFmtId="166" fontId="0" fillId="6" borderId="0" xfId="0" applyNumberFormat="1" applyFill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22.28125" style="2" customWidth="1"/>
    <col min="2" max="2" width="12.421875" style="1" customWidth="1"/>
    <col min="3" max="3" width="11.00390625" style="0" customWidth="1"/>
    <col min="12" max="12" width="11.421875" style="0" customWidth="1"/>
  </cols>
  <sheetData>
    <row r="1" ht="20.25">
      <c r="A1" s="18" t="s">
        <v>107</v>
      </c>
    </row>
    <row r="3" spans="1:2" ht="26.25" thickBot="1">
      <c r="A3" s="15" t="s">
        <v>125</v>
      </c>
      <c r="B3" s="14" t="s">
        <v>2</v>
      </c>
    </row>
    <row r="4" spans="1:4" ht="13.5" thickTop="1">
      <c r="A4" s="2" t="s">
        <v>104</v>
      </c>
      <c r="B4" s="43">
        <v>0.997</v>
      </c>
      <c r="D4" t="s">
        <v>110</v>
      </c>
    </row>
    <row r="5" spans="1:4" ht="12.75">
      <c r="A5" s="2" t="s">
        <v>105</v>
      </c>
      <c r="B5" s="43">
        <v>0.995</v>
      </c>
      <c r="D5" t="s">
        <v>111</v>
      </c>
    </row>
    <row r="6" ht="13.5" thickBot="1"/>
    <row r="7" spans="1:14" ht="16.5" thickBot="1">
      <c r="A7" s="38" t="s">
        <v>106</v>
      </c>
      <c r="B7" s="39" t="s">
        <v>2</v>
      </c>
      <c r="L7" s="28" t="s">
        <v>139</v>
      </c>
      <c r="M7" s="29"/>
      <c r="N7" s="30"/>
    </row>
    <row r="8" spans="1:14" ht="13.5" thickTop="1">
      <c r="A8" s="40" t="s">
        <v>118</v>
      </c>
      <c r="B8" s="48">
        <f>Trans_PNS!E42</f>
        <v>0.7984926019940312</v>
      </c>
      <c r="L8" s="31"/>
      <c r="M8" s="27"/>
      <c r="N8" s="32"/>
    </row>
    <row r="9" spans="1:14" ht="12.75">
      <c r="A9" s="41" t="s">
        <v>121</v>
      </c>
      <c r="B9" s="49">
        <f>Trans_central!E38</f>
        <v>0.8113989075710288</v>
      </c>
      <c r="L9" s="31" t="s">
        <v>140</v>
      </c>
      <c r="M9" s="27"/>
      <c r="N9" s="33"/>
    </row>
    <row r="10" spans="1:14" ht="12.75">
      <c r="A10" s="2" t="s">
        <v>142</v>
      </c>
      <c r="B10" s="1">
        <v>0.75</v>
      </c>
      <c r="L10" s="31" t="s">
        <v>141</v>
      </c>
      <c r="M10" s="27"/>
      <c r="N10" s="34"/>
    </row>
    <row r="11" spans="12:14" ht="13.5" thickBot="1">
      <c r="L11" s="35"/>
      <c r="M11" s="36"/>
      <c r="N11" s="37"/>
    </row>
    <row r="12" spans="12:14" ht="12.75">
      <c r="L12" s="27"/>
      <c r="M12" s="27"/>
      <c r="N12" s="51"/>
    </row>
    <row r="13" spans="12:14" ht="12.75">
      <c r="L13" s="27"/>
      <c r="M13" s="27"/>
      <c r="N13" s="27"/>
    </row>
    <row r="14" ht="20.25">
      <c r="A14" s="18" t="s">
        <v>108</v>
      </c>
    </row>
    <row r="16" spans="1:3" s="2" customFormat="1" ht="26.25" thickBot="1">
      <c r="A16" s="15" t="s">
        <v>124</v>
      </c>
      <c r="B16" s="16" t="s">
        <v>112</v>
      </c>
      <c r="C16" s="15" t="s">
        <v>113</v>
      </c>
    </row>
    <row r="17" spans="1:5" ht="13.5" thickTop="1">
      <c r="A17" s="2" t="s">
        <v>116</v>
      </c>
      <c r="B17" s="43">
        <v>0.1</v>
      </c>
      <c r="C17" s="20">
        <f>632.8*B17/3</f>
        <v>21.093333333333334</v>
      </c>
      <c r="E17" s="19" t="s">
        <v>136</v>
      </c>
    </row>
    <row r="18" spans="1:5" ht="12.75">
      <c r="A18" s="2" t="s">
        <v>117</v>
      </c>
      <c r="B18" s="43">
        <v>0.1</v>
      </c>
      <c r="C18" s="20">
        <f>632.8*B18/3</f>
        <v>21.093333333333334</v>
      </c>
      <c r="E18" s="19" t="s">
        <v>136</v>
      </c>
    </row>
    <row r="19" spans="1:5" ht="12.75">
      <c r="A19" s="2" t="s">
        <v>109</v>
      </c>
      <c r="B19" s="43">
        <v>0.1</v>
      </c>
      <c r="C19" s="20">
        <f>632.8*B19/3</f>
        <v>21.093333333333334</v>
      </c>
      <c r="E19" s="19" t="s">
        <v>136</v>
      </c>
    </row>
    <row r="20" spans="1:5" ht="25.5">
      <c r="A20" s="2" t="s">
        <v>114</v>
      </c>
      <c r="C20" s="50">
        <v>19</v>
      </c>
      <c r="E20" s="19" t="s">
        <v>137</v>
      </c>
    </row>
    <row r="21" spans="1:5" ht="25.5">
      <c r="A21" s="2" t="s">
        <v>115</v>
      </c>
      <c r="C21" s="50">
        <v>33.5</v>
      </c>
      <c r="E21" s="19" t="s">
        <v>138</v>
      </c>
    </row>
    <row r="24" spans="1:4" s="2" customFormat="1" ht="39" thickBot="1">
      <c r="A24" s="38" t="s">
        <v>119</v>
      </c>
      <c r="B24" s="42" t="s">
        <v>122</v>
      </c>
      <c r="C24" s="38" t="s">
        <v>123</v>
      </c>
      <c r="D24" s="38" t="s">
        <v>120</v>
      </c>
    </row>
    <row r="25" spans="1:4" ht="13.5" thickTop="1">
      <c r="A25" s="40" t="s">
        <v>118</v>
      </c>
      <c r="B25" s="44">
        <f>'RMSwfe PNS'!E44</f>
        <v>122.1981427618458</v>
      </c>
      <c r="C25" s="44">
        <f>'RMSwfe PNS'!E43</f>
        <v>137.8729442704607</v>
      </c>
      <c r="D25" s="45">
        <f>'RMSwfe PNS'!E90</f>
        <v>0.7289290547341931</v>
      </c>
    </row>
    <row r="26" spans="1:4" ht="12.75">
      <c r="A26" s="41" t="s">
        <v>121</v>
      </c>
      <c r="B26" s="46">
        <f>'RMSwfe central'!E42</f>
        <v>111.31676086735547</v>
      </c>
      <c r="C26" s="46">
        <f>'RMSwfe central'!E41</f>
        <v>128.32764284191117</v>
      </c>
      <c r="D26" s="47">
        <f>'RMSwfe central'!E88</f>
        <v>0.6308069514196919</v>
      </c>
    </row>
    <row r="27" spans="1:4" ht="12.75">
      <c r="A27" s="2" t="s">
        <v>142</v>
      </c>
      <c r="B27" s="20">
        <v>60</v>
      </c>
      <c r="D27" s="8">
        <v>0.9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4"/>
  <sheetViews>
    <sheetView workbookViewId="0" topLeftCell="A1">
      <pane ySplit="1065" topLeftCell="BM5" activePane="bottomLeft" state="split"/>
      <selection pane="topLeft" activeCell="F3" sqref="F3"/>
      <selection pane="bottomLeft" activeCell="C39" sqref="C39"/>
    </sheetView>
  </sheetViews>
  <sheetFormatPr defaultColWidth="9.140625" defaultRowHeight="12.75"/>
  <cols>
    <col min="2" max="2" width="29.57421875" style="0" customWidth="1"/>
    <col min="3" max="3" width="20.7109375" style="0" customWidth="1"/>
    <col min="4" max="4" width="24.28125" style="1" customWidth="1"/>
    <col min="5" max="5" width="16.421875" style="0" customWidth="1"/>
    <col min="6" max="6" width="8.421875" style="0" customWidth="1"/>
    <col min="7" max="7" width="55.421875" style="0" customWidth="1"/>
  </cols>
  <sheetData>
    <row r="1" spans="5:6" ht="12.75">
      <c r="E1" t="s">
        <v>79</v>
      </c>
      <c r="F1">
        <f>Summary!B4</f>
        <v>0.997</v>
      </c>
    </row>
    <row r="2" spans="2:6" ht="15">
      <c r="B2" s="5" t="s">
        <v>20</v>
      </c>
      <c r="E2" t="s">
        <v>80</v>
      </c>
      <c r="F2">
        <f>Summary!B5</f>
        <v>0.995</v>
      </c>
    </row>
    <row r="3" spans="2:5" ht="12.75">
      <c r="B3" s="4" t="s">
        <v>81</v>
      </c>
      <c r="E3" s="4"/>
    </row>
    <row r="5" spans="2:7" ht="12.75">
      <c r="B5" s="4" t="s">
        <v>0</v>
      </c>
      <c r="C5" s="4" t="s">
        <v>1</v>
      </c>
      <c r="D5" s="6" t="s">
        <v>16</v>
      </c>
      <c r="E5" s="4" t="s">
        <v>2</v>
      </c>
      <c r="F5" s="4" t="s">
        <v>21</v>
      </c>
      <c r="G5" s="4" t="s">
        <v>3</v>
      </c>
    </row>
    <row r="6" ht="12.75">
      <c r="F6" t="s">
        <v>6</v>
      </c>
    </row>
    <row r="7" spans="2:7" ht="12.75">
      <c r="B7" s="4" t="s">
        <v>84</v>
      </c>
      <c r="C7">
        <v>1</v>
      </c>
      <c r="D7" s="1">
        <f>$F$1</f>
        <v>0.997</v>
      </c>
      <c r="E7" s="3">
        <f aca="true" t="shared" si="0" ref="E7:E15">D7^(C7)</f>
        <v>0.997</v>
      </c>
      <c r="F7" s="8">
        <f>(E$42/E7-E$42)*100</f>
        <v>0.240268586357284</v>
      </c>
      <c r="G7" t="s">
        <v>4</v>
      </c>
    </row>
    <row r="8" spans="2:7" ht="12.75">
      <c r="B8" s="4" t="s">
        <v>90</v>
      </c>
      <c r="C8">
        <v>2</v>
      </c>
      <c r="D8" s="1">
        <f>$F$2</f>
        <v>0.995</v>
      </c>
      <c r="E8" s="3">
        <f>D8^(C8)</f>
        <v>0.990025</v>
      </c>
      <c r="F8" s="8">
        <f>(E$42/E8-E$42)*100</f>
        <v>0.8045214721739802</v>
      </c>
      <c r="G8" t="s">
        <v>91</v>
      </c>
    </row>
    <row r="9" spans="2:7" ht="12.75">
      <c r="B9" s="4" t="s">
        <v>9</v>
      </c>
      <c r="C9">
        <v>2</v>
      </c>
      <c r="D9" s="1">
        <f>$F$2</f>
        <v>0.995</v>
      </c>
      <c r="E9" s="3">
        <f>D9^(C9)</f>
        <v>0.990025</v>
      </c>
      <c r="F9" s="8">
        <f>(E$42/E9-E$42)*100</f>
        <v>0.8045214721739802</v>
      </c>
      <c r="G9" t="s">
        <v>91</v>
      </c>
    </row>
    <row r="10" spans="2:7" ht="12.75">
      <c r="B10" s="4" t="s">
        <v>85</v>
      </c>
      <c r="C10">
        <v>1</v>
      </c>
      <c r="D10" s="1">
        <f>$F$1</f>
        <v>0.997</v>
      </c>
      <c r="E10" s="3">
        <f t="shared" si="0"/>
        <v>0.997</v>
      </c>
      <c r="F10" s="8">
        <f>(E$42/E10-E$42)*100</f>
        <v>0.240268586357284</v>
      </c>
      <c r="G10" t="s">
        <v>4</v>
      </c>
    </row>
    <row r="11" spans="2:6" ht="12.75">
      <c r="B11" s="4"/>
      <c r="E11" s="3"/>
      <c r="F11" s="8"/>
    </row>
    <row r="12" spans="2:7" ht="12.75">
      <c r="B12" s="4" t="s">
        <v>82</v>
      </c>
      <c r="C12">
        <v>1</v>
      </c>
      <c r="D12" s="1">
        <f>$F$1</f>
        <v>0.997</v>
      </c>
      <c r="E12" s="3">
        <f t="shared" si="0"/>
        <v>0.997</v>
      </c>
      <c r="F12" s="8">
        <f>(E$42/E12-E$42)*100</f>
        <v>0.240268586357284</v>
      </c>
      <c r="G12" t="s">
        <v>59</v>
      </c>
    </row>
    <row r="13" spans="2:7" ht="12.75">
      <c r="B13" s="4" t="s">
        <v>83</v>
      </c>
      <c r="C13">
        <v>1</v>
      </c>
      <c r="D13" s="1">
        <f>$F$1</f>
        <v>0.997</v>
      </c>
      <c r="E13" s="3">
        <f t="shared" si="0"/>
        <v>0.997</v>
      </c>
      <c r="F13" s="8">
        <f>(E$42/E13-E$42)*100</f>
        <v>0.240268586357284</v>
      </c>
      <c r="G13" t="s">
        <v>59</v>
      </c>
    </row>
    <row r="14" spans="2:7" ht="12.75">
      <c r="B14" s="4" t="s">
        <v>92</v>
      </c>
      <c r="C14">
        <v>1</v>
      </c>
      <c r="D14" s="1">
        <f>$F$1</f>
        <v>0.997</v>
      </c>
      <c r="E14" s="3">
        <f t="shared" si="0"/>
        <v>0.997</v>
      </c>
      <c r="F14" s="8">
        <f>(E$42/E14-E$42)*100</f>
        <v>0.240268586357284</v>
      </c>
      <c r="G14" t="s">
        <v>8</v>
      </c>
    </row>
    <row r="15" spans="2:7" ht="12.75">
      <c r="B15" s="4" t="s">
        <v>93</v>
      </c>
      <c r="C15">
        <v>1</v>
      </c>
      <c r="D15" s="1">
        <f>$F$1</f>
        <v>0.997</v>
      </c>
      <c r="E15" s="3">
        <f t="shared" si="0"/>
        <v>0.997</v>
      </c>
      <c r="F15" s="8">
        <f>(E$42/E15-E$42)*100</f>
        <v>0.240268586357284</v>
      </c>
      <c r="G15" t="s">
        <v>8</v>
      </c>
    </row>
    <row r="16" spans="2:6" ht="12.75">
      <c r="B16" s="4"/>
      <c r="E16" s="3"/>
      <c r="F16" s="8" t="s">
        <v>6</v>
      </c>
    </row>
    <row r="17" spans="2:7" ht="12.75">
      <c r="B17" s="4" t="s">
        <v>18</v>
      </c>
      <c r="C17">
        <v>2</v>
      </c>
      <c r="D17" s="1">
        <f>$F$2</f>
        <v>0.995</v>
      </c>
      <c r="E17" s="3">
        <f aca="true" t="shared" si="1" ref="E17:E23">D17^(C17)</f>
        <v>0.990025</v>
      </c>
      <c r="F17" s="8">
        <f aca="true" t="shared" si="2" ref="F17:F23">(E$42/E17-E$42)*100</f>
        <v>0.8045214721739802</v>
      </c>
      <c r="G17" t="s">
        <v>19</v>
      </c>
    </row>
    <row r="18" spans="2:7" ht="12.75">
      <c r="B18" s="4" t="s">
        <v>78</v>
      </c>
      <c r="C18">
        <v>2</v>
      </c>
      <c r="D18" s="1">
        <f>$F$2</f>
        <v>0.995</v>
      </c>
      <c r="E18" s="3">
        <f t="shared" si="1"/>
        <v>0.990025</v>
      </c>
      <c r="F18" s="8">
        <f t="shared" si="2"/>
        <v>0.8045214721739802</v>
      </c>
      <c r="G18" t="s">
        <v>19</v>
      </c>
    </row>
    <row r="19" spans="2:6" ht="12.75">
      <c r="B19" s="4" t="s">
        <v>25</v>
      </c>
      <c r="C19">
        <v>1</v>
      </c>
      <c r="D19" s="1">
        <f>$F$1</f>
        <v>0.997</v>
      </c>
      <c r="E19" s="3">
        <f t="shared" si="1"/>
        <v>0.997</v>
      </c>
      <c r="F19" s="8">
        <f t="shared" si="2"/>
        <v>0.240268586357284</v>
      </c>
    </row>
    <row r="20" spans="2:6" ht="12.75">
      <c r="B20" s="4" t="s">
        <v>94</v>
      </c>
      <c r="C20">
        <v>1</v>
      </c>
      <c r="D20" s="1">
        <f>$F$1</f>
        <v>0.997</v>
      </c>
      <c r="E20" s="3">
        <f t="shared" si="1"/>
        <v>0.997</v>
      </c>
      <c r="F20" s="8">
        <f t="shared" si="2"/>
        <v>0.240268586357284</v>
      </c>
    </row>
    <row r="21" spans="2:6" ht="12.75">
      <c r="B21" s="4" t="s">
        <v>95</v>
      </c>
      <c r="C21">
        <v>1</v>
      </c>
      <c r="D21" s="1">
        <f>$F$1</f>
        <v>0.997</v>
      </c>
      <c r="E21" s="3">
        <f t="shared" si="1"/>
        <v>0.997</v>
      </c>
      <c r="F21" s="8">
        <f t="shared" si="2"/>
        <v>0.240268586357284</v>
      </c>
    </row>
    <row r="22" spans="2:6" ht="12.75">
      <c r="B22" s="4" t="s">
        <v>77</v>
      </c>
      <c r="C22">
        <v>2</v>
      </c>
      <c r="D22" s="1">
        <f>$F$2</f>
        <v>0.995</v>
      </c>
      <c r="E22" s="3">
        <f t="shared" si="1"/>
        <v>0.990025</v>
      </c>
      <c r="F22" s="8">
        <f t="shared" si="2"/>
        <v>0.8045214721739802</v>
      </c>
    </row>
    <row r="23" spans="2:6" ht="12.75">
      <c r="B23" s="4" t="s">
        <v>76</v>
      </c>
      <c r="C23">
        <v>2</v>
      </c>
      <c r="D23" s="1">
        <f>$F$2</f>
        <v>0.995</v>
      </c>
      <c r="E23" s="3">
        <f t="shared" si="1"/>
        <v>0.990025</v>
      </c>
      <c r="F23" s="8">
        <f t="shared" si="2"/>
        <v>0.8045214721739802</v>
      </c>
    </row>
    <row r="24" spans="2:6" ht="12.75">
      <c r="B24" s="4"/>
      <c r="E24" s="3"/>
      <c r="F24" s="8"/>
    </row>
    <row r="25" spans="2:7" ht="12.75">
      <c r="B25" s="4" t="s">
        <v>96</v>
      </c>
      <c r="C25">
        <v>1</v>
      </c>
      <c r="D25" s="1">
        <f>$F$1</f>
        <v>0.997</v>
      </c>
      <c r="E25" s="3">
        <f>D25^(C25)</f>
        <v>0.997</v>
      </c>
      <c r="F25" s="8">
        <f>(E$42/E25-E$42)*100</f>
        <v>0.240268586357284</v>
      </c>
      <c r="G25" t="s">
        <v>100</v>
      </c>
    </row>
    <row r="26" spans="2:6" ht="12.75">
      <c r="B26" s="4" t="s">
        <v>17</v>
      </c>
      <c r="C26">
        <v>3</v>
      </c>
      <c r="D26" s="1">
        <f>$F$1</f>
        <v>0.997</v>
      </c>
      <c r="E26" s="3">
        <f>D26^(C26)</f>
        <v>0.991026973</v>
      </c>
      <c r="F26" s="8">
        <f>(E$42/E26-E$42)*100</f>
        <v>0.7229768585716112</v>
      </c>
    </row>
    <row r="27" spans="2:6" ht="12.75">
      <c r="B27" s="4" t="s">
        <v>74</v>
      </c>
      <c r="C27">
        <v>1</v>
      </c>
      <c r="D27" s="1">
        <f>$F$1</f>
        <v>0.997</v>
      </c>
      <c r="E27" s="3">
        <f>D27^(C27)</f>
        <v>0.997</v>
      </c>
      <c r="F27" s="8">
        <f>(E$42/E27-E$42)*100</f>
        <v>0.240268586357284</v>
      </c>
    </row>
    <row r="28" spans="2:6" ht="12.75">
      <c r="B28" s="4" t="s">
        <v>6</v>
      </c>
      <c r="C28" t="s">
        <v>6</v>
      </c>
      <c r="E28" s="3" t="s">
        <v>6</v>
      </c>
      <c r="F28" s="8" t="s">
        <v>6</v>
      </c>
    </row>
    <row r="29" spans="2:6" ht="25.5">
      <c r="B29" s="7" t="s">
        <v>72</v>
      </c>
      <c r="C29">
        <v>2</v>
      </c>
      <c r="D29" s="1">
        <f>$F$2</f>
        <v>0.995</v>
      </c>
      <c r="E29" s="3">
        <f>D29^(C29)</f>
        <v>0.990025</v>
      </c>
      <c r="F29" s="8">
        <f>(E$42/E29-E$42)*100</f>
        <v>0.8045214721739802</v>
      </c>
    </row>
    <row r="30" spans="2:6" ht="25.5">
      <c r="B30" s="7" t="s">
        <v>73</v>
      </c>
      <c r="C30">
        <v>2</v>
      </c>
      <c r="D30" s="1">
        <f>$F$2</f>
        <v>0.995</v>
      </c>
      <c r="E30" s="3">
        <f>D30^(C30)</f>
        <v>0.990025</v>
      </c>
      <c r="F30" s="8">
        <f>(E$42/E30-E$42)*100</f>
        <v>0.8045214721739802</v>
      </c>
    </row>
    <row r="31" spans="2:6" ht="12.75">
      <c r="B31" s="7"/>
      <c r="E31" s="3"/>
      <c r="F31" s="8"/>
    </row>
    <row r="32" spans="2:7" ht="12.75">
      <c r="B32" s="7" t="s">
        <v>75</v>
      </c>
      <c r="C32">
        <v>1</v>
      </c>
      <c r="D32" s="1">
        <f>$F$1</f>
        <v>0.997</v>
      </c>
      <c r="E32" s="3">
        <f>D32^(C32)</f>
        <v>0.997</v>
      </c>
      <c r="F32" s="8">
        <f>(E$42/E32-E$42)*100</f>
        <v>0.240268586357284</v>
      </c>
      <c r="G32" t="s">
        <v>101</v>
      </c>
    </row>
    <row r="33" spans="2:6" ht="12.75">
      <c r="B33" s="4" t="s">
        <v>6</v>
      </c>
      <c r="C33" t="s">
        <v>6</v>
      </c>
      <c r="E33" s="3" t="s">
        <v>6</v>
      </c>
      <c r="F33" s="8" t="s">
        <v>6</v>
      </c>
    </row>
    <row r="34" spans="2:6" ht="12.75">
      <c r="B34" s="4" t="s">
        <v>13</v>
      </c>
      <c r="C34">
        <v>2</v>
      </c>
      <c r="D34" s="1">
        <f>$F$2</f>
        <v>0.995</v>
      </c>
      <c r="E34" s="3">
        <f aca="true" t="shared" si="3" ref="E34:E39">D34^(C34)</f>
        <v>0.990025</v>
      </c>
      <c r="F34" s="8">
        <f aca="true" t="shared" si="4" ref="F34:F40">(E$42/E34-E$42)*100</f>
        <v>0.8045214721739802</v>
      </c>
    </row>
    <row r="35" spans="2:7" ht="12.75">
      <c r="B35" s="4" t="s">
        <v>23</v>
      </c>
      <c r="C35">
        <v>1</v>
      </c>
      <c r="D35" s="1">
        <v>0.996</v>
      </c>
      <c r="E35" s="3">
        <f t="shared" si="3"/>
        <v>0.996</v>
      </c>
      <c r="F35" s="8">
        <f t="shared" si="4"/>
        <v>0.3206797598369615</v>
      </c>
      <c r="G35" t="s">
        <v>102</v>
      </c>
    </row>
    <row r="36" spans="2:7" ht="12.75">
      <c r="B36" s="4" t="s">
        <v>10</v>
      </c>
      <c r="C36">
        <v>1</v>
      </c>
      <c r="D36" s="1">
        <v>0.996</v>
      </c>
      <c r="E36" s="3">
        <f t="shared" si="3"/>
        <v>0.996</v>
      </c>
      <c r="F36" s="8">
        <f t="shared" si="4"/>
        <v>0.3206797598369615</v>
      </c>
      <c r="G36" t="s">
        <v>102</v>
      </c>
    </row>
    <row r="37" spans="2:7" ht="12.75">
      <c r="B37" s="4" t="s">
        <v>11</v>
      </c>
      <c r="C37">
        <v>1</v>
      </c>
      <c r="D37" s="1">
        <v>0.996</v>
      </c>
      <c r="E37" s="3">
        <f t="shared" si="3"/>
        <v>0.996</v>
      </c>
      <c r="F37" s="8">
        <f t="shared" si="4"/>
        <v>0.3206797598369615</v>
      </c>
      <c r="G37" t="s">
        <v>102</v>
      </c>
    </row>
    <row r="38" spans="2:7" ht="12.75">
      <c r="B38" s="4" t="s">
        <v>97</v>
      </c>
      <c r="C38">
        <v>1</v>
      </c>
      <c r="D38" s="1">
        <v>0.98</v>
      </c>
      <c r="E38" s="3">
        <f t="shared" si="3"/>
        <v>0.98</v>
      </c>
      <c r="F38" s="8">
        <f t="shared" si="4"/>
        <v>1.6295767387633275</v>
      </c>
      <c r="G38" t="s">
        <v>102</v>
      </c>
    </row>
    <row r="39" spans="2:7" ht="12.75">
      <c r="B39" s="4" t="s">
        <v>98</v>
      </c>
      <c r="C39">
        <v>1</v>
      </c>
      <c r="D39" s="1">
        <v>0.9886</v>
      </c>
      <c r="E39" s="3">
        <f t="shared" si="3"/>
        <v>0.9886</v>
      </c>
      <c r="F39" s="8">
        <f t="shared" si="4"/>
        <v>0.9207784404948294</v>
      </c>
      <c r="G39" t="s">
        <v>102</v>
      </c>
    </row>
    <row r="40" spans="2:7" ht="12.75">
      <c r="B40" s="4" t="s">
        <v>99</v>
      </c>
      <c r="E40" s="3">
        <v>0.955</v>
      </c>
      <c r="F40" s="8">
        <f t="shared" si="4"/>
        <v>3.762530585312196</v>
      </c>
      <c r="G40" t="s">
        <v>14</v>
      </c>
    </row>
    <row r="42" spans="2:7" ht="12.75">
      <c r="B42" t="s">
        <v>24</v>
      </c>
      <c r="E42" s="11">
        <f>PRODUCT(E7:E41)</f>
        <v>0.7984926019940312</v>
      </c>
      <c r="G42" s="2"/>
    </row>
    <row r="43" ht="12.75">
      <c r="G43" t="s">
        <v>6</v>
      </c>
    </row>
    <row r="44" spans="2:7" ht="12.75">
      <c r="B44" t="s">
        <v>52</v>
      </c>
      <c r="E44" s="12">
        <v>0.75</v>
      </c>
      <c r="G44" t="s">
        <v>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0"/>
  <sheetViews>
    <sheetView workbookViewId="0" topLeftCell="A1">
      <pane ySplit="1065" topLeftCell="BM1" activePane="bottomLeft" state="split"/>
      <selection pane="topLeft" activeCell="F1" sqref="F1:F2"/>
      <selection pane="bottomLeft" activeCell="B21" sqref="B21"/>
    </sheetView>
  </sheetViews>
  <sheetFormatPr defaultColWidth="9.140625" defaultRowHeight="12.75"/>
  <cols>
    <col min="2" max="2" width="29.421875" style="0" customWidth="1"/>
    <col min="3" max="3" width="20.7109375" style="0" customWidth="1"/>
    <col min="4" max="4" width="24.28125" style="1" customWidth="1"/>
    <col min="5" max="5" width="16.421875" style="0" customWidth="1"/>
    <col min="6" max="6" width="8.421875" style="0" customWidth="1"/>
    <col min="7" max="7" width="55.421875" style="0" customWidth="1"/>
  </cols>
  <sheetData>
    <row r="1" spans="5:6" ht="12.75">
      <c r="E1" t="s">
        <v>79</v>
      </c>
      <c r="F1">
        <f>Summary!B4</f>
        <v>0.997</v>
      </c>
    </row>
    <row r="2" spans="2:6" ht="15">
      <c r="B2" s="5" t="s">
        <v>20</v>
      </c>
      <c r="E2" t="s">
        <v>80</v>
      </c>
      <c r="F2">
        <f>Summary!B5</f>
        <v>0.995</v>
      </c>
    </row>
    <row r="3" spans="2:5" ht="12.75">
      <c r="B3" s="4" t="s">
        <v>81</v>
      </c>
      <c r="E3" s="4"/>
    </row>
    <row r="5" spans="2:7" ht="12.75">
      <c r="B5" s="4" t="s">
        <v>0</v>
      </c>
      <c r="C5" s="4" t="s">
        <v>1</v>
      </c>
      <c r="D5" s="6" t="s">
        <v>16</v>
      </c>
      <c r="E5" s="4" t="s">
        <v>2</v>
      </c>
      <c r="F5" s="4" t="s">
        <v>21</v>
      </c>
      <c r="G5" s="4" t="s">
        <v>3</v>
      </c>
    </row>
    <row r="6" ht="12.75">
      <c r="F6" t="s">
        <v>6</v>
      </c>
    </row>
    <row r="7" spans="2:7" ht="12.75">
      <c r="B7" s="4" t="s">
        <v>84</v>
      </c>
      <c r="C7">
        <v>1</v>
      </c>
      <c r="D7" s="1">
        <f>$F$1</f>
        <v>0.997</v>
      </c>
      <c r="E7" s="3">
        <f>D7^(C7)</f>
        <v>0.997</v>
      </c>
      <c r="F7" s="8">
        <f>(E$38/E7-E$38)*100</f>
        <v>0.2441521286572823</v>
      </c>
      <c r="G7" t="s">
        <v>4</v>
      </c>
    </row>
    <row r="8" spans="2:7" ht="12.75">
      <c r="B8" s="4" t="s">
        <v>90</v>
      </c>
      <c r="C8">
        <v>2</v>
      </c>
      <c r="D8" s="1">
        <f>$F$2</f>
        <v>0.995</v>
      </c>
      <c r="E8" s="3">
        <f>D8^(C8)</f>
        <v>0.990025</v>
      </c>
      <c r="F8" s="8">
        <f>(E$38/E8-E$38)*100</f>
        <v>0.8175252244156384</v>
      </c>
      <c r="G8" t="s">
        <v>91</v>
      </c>
    </row>
    <row r="9" spans="2:7" ht="12.75">
      <c r="B9" s="4" t="s">
        <v>9</v>
      </c>
      <c r="C9">
        <v>2</v>
      </c>
      <c r="D9" s="1">
        <f>$F$2</f>
        <v>0.995</v>
      </c>
      <c r="E9" s="3">
        <f>D9^(C9)</f>
        <v>0.990025</v>
      </c>
      <c r="F9" s="8">
        <f>(E$38/E9-E$38)*100</f>
        <v>0.8175252244156384</v>
      </c>
      <c r="G9" t="s">
        <v>91</v>
      </c>
    </row>
    <row r="10" spans="2:7" ht="12.75">
      <c r="B10" s="4" t="s">
        <v>85</v>
      </c>
      <c r="C10">
        <v>1</v>
      </c>
      <c r="D10" s="1">
        <f>$F$1</f>
        <v>0.997</v>
      </c>
      <c r="E10" s="3">
        <f>D10^(C10)</f>
        <v>0.997</v>
      </c>
      <c r="F10" s="8">
        <f>(E$38/E10-E$38)*100</f>
        <v>0.2441521286572823</v>
      </c>
      <c r="G10" t="s">
        <v>4</v>
      </c>
    </row>
    <row r="11" spans="2:6" ht="12.75">
      <c r="B11" s="4"/>
      <c r="E11" s="3"/>
      <c r="F11" s="8"/>
    </row>
    <row r="12" spans="2:7" ht="12.75">
      <c r="B12" s="4" t="s">
        <v>82</v>
      </c>
      <c r="C12">
        <v>1</v>
      </c>
      <c r="D12" s="1">
        <f>$F$1</f>
        <v>0.997</v>
      </c>
      <c r="E12" s="3">
        <f>D12^(C12)</f>
        <v>0.997</v>
      </c>
      <c r="F12" s="8">
        <f>(E$38/E12-E$38)*100</f>
        <v>0.2441521286572823</v>
      </c>
      <c r="G12" t="s">
        <v>59</v>
      </c>
    </row>
    <row r="13" spans="2:7" ht="12.75">
      <c r="B13" s="4" t="s">
        <v>83</v>
      </c>
      <c r="C13">
        <v>1</v>
      </c>
      <c r="D13" s="1">
        <f>$F$1</f>
        <v>0.997</v>
      </c>
      <c r="E13" s="3">
        <f>D13^(C13)</f>
        <v>0.997</v>
      </c>
      <c r="F13" s="8">
        <f>(E$38/E13-E$38)*100</f>
        <v>0.2441521286572823</v>
      </c>
      <c r="G13" t="s">
        <v>59</v>
      </c>
    </row>
    <row r="14" spans="2:7" ht="12.75">
      <c r="B14" s="4" t="s">
        <v>92</v>
      </c>
      <c r="C14">
        <v>1</v>
      </c>
      <c r="D14" s="1">
        <f>$F$1</f>
        <v>0.997</v>
      </c>
      <c r="E14" s="3">
        <f>D14^(C14)</f>
        <v>0.997</v>
      </c>
      <c r="F14" s="8">
        <f>(E$38/E14-E$38)*100</f>
        <v>0.2441521286572823</v>
      </c>
      <c r="G14" t="s">
        <v>8</v>
      </c>
    </row>
    <row r="15" spans="2:7" ht="12.75">
      <c r="B15" s="4" t="s">
        <v>93</v>
      </c>
      <c r="C15">
        <v>1</v>
      </c>
      <c r="D15" s="1">
        <f>$F$1</f>
        <v>0.997</v>
      </c>
      <c r="E15" s="3">
        <f>D15^(C15)</f>
        <v>0.997</v>
      </c>
      <c r="F15" s="8">
        <f>(E$38/E15-E$38)*100</f>
        <v>0.2441521286572823</v>
      </c>
      <c r="G15" t="s">
        <v>8</v>
      </c>
    </row>
    <row r="16" spans="2:6" ht="12.75">
      <c r="B16" s="4"/>
      <c r="E16" s="3"/>
      <c r="F16" s="8" t="s">
        <v>6</v>
      </c>
    </row>
    <row r="17" spans="2:7" ht="12.75">
      <c r="B17" s="4" t="s">
        <v>18</v>
      </c>
      <c r="C17">
        <v>2</v>
      </c>
      <c r="D17" s="1">
        <f>$F$2</f>
        <v>0.995</v>
      </c>
      <c r="E17" s="3">
        <f>D17^(C17)</f>
        <v>0.990025</v>
      </c>
      <c r="F17" s="8">
        <f>(E$38/E17-E$38)*100</f>
        <v>0.8175252244156384</v>
      </c>
      <c r="G17" t="s">
        <v>19</v>
      </c>
    </row>
    <row r="18" spans="2:6" ht="12.75">
      <c r="B18" s="4" t="s">
        <v>25</v>
      </c>
      <c r="C18">
        <v>1</v>
      </c>
      <c r="D18" s="1">
        <f>$F$1</f>
        <v>0.997</v>
      </c>
      <c r="E18" s="3">
        <f>D18^(C18)</f>
        <v>0.997</v>
      </c>
      <c r="F18" s="8">
        <f>(E$38/E18-E$38)*100</f>
        <v>0.2441521286572823</v>
      </c>
    </row>
    <row r="19" spans="2:6" ht="12.75">
      <c r="B19" s="4" t="s">
        <v>86</v>
      </c>
      <c r="C19">
        <v>1</v>
      </c>
      <c r="D19" s="1">
        <f>$F$1</f>
        <v>0.997</v>
      </c>
      <c r="E19" s="3">
        <f>D19^(C19)</f>
        <v>0.997</v>
      </c>
      <c r="F19" s="8">
        <f>(E$38/E19-E$38)*100</f>
        <v>0.2441521286572823</v>
      </c>
    </row>
    <row r="20" spans="2:6" ht="12.75">
      <c r="B20" s="4" t="s">
        <v>132</v>
      </c>
      <c r="C20">
        <v>2</v>
      </c>
      <c r="D20" s="1">
        <f>$F$2</f>
        <v>0.995</v>
      </c>
      <c r="E20" s="3">
        <f>D20^(C20)</f>
        <v>0.990025</v>
      </c>
      <c r="F20" s="8">
        <f>(E$38/E20-E$38)*100</f>
        <v>0.8175252244156384</v>
      </c>
    </row>
    <row r="21" spans="2:6" ht="12.75">
      <c r="B21" s="4" t="s">
        <v>103</v>
      </c>
      <c r="C21">
        <v>2</v>
      </c>
      <c r="D21" s="1">
        <f>$F$2</f>
        <v>0.995</v>
      </c>
      <c r="E21" s="3">
        <f>D21^(C21)</f>
        <v>0.990025</v>
      </c>
      <c r="F21" s="8">
        <f>(E$38/E21-E$38)*100</f>
        <v>0.8175252244156384</v>
      </c>
    </row>
    <row r="22" spans="2:6" ht="12.75">
      <c r="B22" s="4"/>
      <c r="E22" s="3"/>
      <c r="F22" s="8"/>
    </row>
    <row r="23" spans="2:7" ht="12.75">
      <c r="B23" s="4" t="s">
        <v>96</v>
      </c>
      <c r="C23">
        <v>1</v>
      </c>
      <c r="D23" s="1">
        <f>$F$1</f>
        <v>0.997</v>
      </c>
      <c r="E23" s="3">
        <f>D23^(C23)</f>
        <v>0.997</v>
      </c>
      <c r="F23" s="8">
        <f>(E$38/E23-E$38)*100</f>
        <v>0.2441521286572823</v>
      </c>
      <c r="G23" t="s">
        <v>100</v>
      </c>
    </row>
    <row r="24" spans="2:6" ht="12.75">
      <c r="B24" s="4" t="s">
        <v>17</v>
      </c>
      <c r="C24">
        <v>3</v>
      </c>
      <c r="D24" s="1">
        <f>$F$1</f>
        <v>0.997</v>
      </c>
      <c r="E24" s="3">
        <f>D24^(C24)</f>
        <v>0.991026973</v>
      </c>
      <c r="F24" s="8">
        <f>(E$38/E24-E$38)*100</f>
        <v>0.7346625776860072</v>
      </c>
    </row>
    <row r="25" spans="2:6" ht="12.75">
      <c r="B25" s="4" t="s">
        <v>74</v>
      </c>
      <c r="C25">
        <v>1</v>
      </c>
      <c r="D25" s="1">
        <f>$F$1</f>
        <v>0.997</v>
      </c>
      <c r="E25" s="3">
        <f>D25^(C25)</f>
        <v>0.997</v>
      </c>
      <c r="F25" s="8">
        <f>(E$38/E25-E$38)*100</f>
        <v>0.2441521286572823</v>
      </c>
    </row>
    <row r="26" spans="2:6" ht="12.75">
      <c r="B26" s="4" t="s">
        <v>6</v>
      </c>
      <c r="C26" t="s">
        <v>6</v>
      </c>
      <c r="E26" s="3" t="s">
        <v>6</v>
      </c>
      <c r="F26" s="8" t="s">
        <v>6</v>
      </c>
    </row>
    <row r="27" spans="2:6" ht="25.5">
      <c r="B27" s="7" t="s">
        <v>72</v>
      </c>
      <c r="C27">
        <v>2</v>
      </c>
      <c r="D27" s="1">
        <f>$F$2</f>
        <v>0.995</v>
      </c>
      <c r="E27" s="3">
        <f>D27^(C27)</f>
        <v>0.990025</v>
      </c>
      <c r="F27" s="8">
        <f>(E$38/E27-E$38)*100</f>
        <v>0.8175252244156384</v>
      </c>
    </row>
    <row r="28" spans="2:6" ht="25.5">
      <c r="B28" s="7" t="s">
        <v>73</v>
      </c>
      <c r="C28">
        <v>2</v>
      </c>
      <c r="D28" s="1">
        <f>$F$2</f>
        <v>0.995</v>
      </c>
      <c r="E28" s="3">
        <f>D28^(C28)</f>
        <v>0.990025</v>
      </c>
      <c r="F28" s="8">
        <f>(E$38/E28-E$38)*100</f>
        <v>0.8175252244156384</v>
      </c>
    </row>
    <row r="29" spans="2:6" ht="12.75">
      <c r="B29" s="4" t="s">
        <v>6</v>
      </c>
      <c r="C29" t="s">
        <v>6</v>
      </c>
      <c r="E29" s="3" t="s">
        <v>6</v>
      </c>
      <c r="F29" s="8" t="s">
        <v>6</v>
      </c>
    </row>
    <row r="30" spans="2:6" ht="12.75">
      <c r="B30" s="4" t="s">
        <v>13</v>
      </c>
      <c r="C30">
        <v>2</v>
      </c>
      <c r="D30" s="1">
        <f>$F$2</f>
        <v>0.995</v>
      </c>
      <c r="E30" s="3">
        <f aca="true" t="shared" si="0" ref="E30:E35">D30^(C30)</f>
        <v>0.990025</v>
      </c>
      <c r="F30" s="8">
        <f aca="true" t="shared" si="1" ref="F30:F36">(E$38/E30-E$38)*100</f>
        <v>0.8175252244156384</v>
      </c>
    </row>
    <row r="31" spans="2:7" ht="12.75">
      <c r="B31" s="4" t="s">
        <v>23</v>
      </c>
      <c r="C31">
        <v>1</v>
      </c>
      <c r="D31" s="1">
        <v>0.996</v>
      </c>
      <c r="E31" s="3">
        <f t="shared" si="0"/>
        <v>0.996</v>
      </c>
      <c r="F31" s="8">
        <f t="shared" si="1"/>
        <v>0.3258630150887676</v>
      </c>
      <c r="G31" t="s">
        <v>102</v>
      </c>
    </row>
    <row r="32" spans="2:7" ht="12.75">
      <c r="B32" s="4" t="s">
        <v>10</v>
      </c>
      <c r="C32">
        <v>1</v>
      </c>
      <c r="D32" s="1">
        <v>0.996</v>
      </c>
      <c r="E32" s="3">
        <f t="shared" si="0"/>
        <v>0.996</v>
      </c>
      <c r="F32" s="8">
        <f t="shared" si="1"/>
        <v>0.3258630150887676</v>
      </c>
      <c r="G32" t="s">
        <v>102</v>
      </c>
    </row>
    <row r="33" spans="2:7" ht="12.75">
      <c r="B33" s="4" t="s">
        <v>11</v>
      </c>
      <c r="C33">
        <v>1</v>
      </c>
      <c r="D33" s="1">
        <v>0.996</v>
      </c>
      <c r="E33" s="3">
        <f t="shared" si="0"/>
        <v>0.996</v>
      </c>
      <c r="F33" s="8">
        <f t="shared" si="1"/>
        <v>0.3258630150887676</v>
      </c>
      <c r="G33" t="s">
        <v>102</v>
      </c>
    </row>
    <row r="34" spans="2:7" ht="12.75">
      <c r="B34" s="4" t="s">
        <v>97</v>
      </c>
      <c r="C34">
        <v>1</v>
      </c>
      <c r="D34" s="1">
        <v>0.98</v>
      </c>
      <c r="E34" s="3">
        <f t="shared" si="0"/>
        <v>0.98</v>
      </c>
      <c r="F34" s="8">
        <f t="shared" si="1"/>
        <v>1.6559161379000598</v>
      </c>
      <c r="G34" t="s">
        <v>102</v>
      </c>
    </row>
    <row r="35" spans="2:7" ht="12.75">
      <c r="B35" s="4" t="s">
        <v>98</v>
      </c>
      <c r="C35">
        <v>1</v>
      </c>
      <c r="D35" s="1">
        <v>0.9886</v>
      </c>
      <c r="E35" s="3">
        <f t="shared" si="0"/>
        <v>0.9886</v>
      </c>
      <c r="F35" s="8">
        <f t="shared" si="1"/>
        <v>0.9356612933754449</v>
      </c>
      <c r="G35" t="s">
        <v>102</v>
      </c>
    </row>
    <row r="36" spans="2:7" ht="12.75">
      <c r="B36" s="4" t="s">
        <v>99</v>
      </c>
      <c r="E36" s="3">
        <v>0.955</v>
      </c>
      <c r="F36" s="8">
        <f t="shared" si="1"/>
        <v>3.8233456377692487</v>
      </c>
      <c r="G36" t="s">
        <v>14</v>
      </c>
    </row>
    <row r="37" spans="2:6" ht="12.75">
      <c r="B37" s="4"/>
      <c r="E37" s="3"/>
      <c r="F37" s="8"/>
    </row>
    <row r="38" spans="2:7" ht="12.75">
      <c r="B38" t="s">
        <v>24</v>
      </c>
      <c r="E38" s="11">
        <f>PRODUCT(E7:E37)</f>
        <v>0.8113989075710288</v>
      </c>
      <c r="G38" s="2"/>
    </row>
    <row r="39" ht="12.75">
      <c r="G39" t="s">
        <v>6</v>
      </c>
    </row>
    <row r="40" spans="2:7" ht="12.75">
      <c r="B40" t="s">
        <v>52</v>
      </c>
      <c r="E40" s="12">
        <v>0.75</v>
      </c>
      <c r="G40" t="s">
        <v>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58">
      <selection activeCell="E91" sqref="E91"/>
    </sheetView>
  </sheetViews>
  <sheetFormatPr defaultColWidth="9.140625" defaultRowHeight="12.75"/>
  <cols>
    <col min="1" max="1" width="6.28125" style="0" customWidth="1"/>
    <col min="2" max="2" width="32.140625" style="0" customWidth="1"/>
    <col min="3" max="3" width="20.7109375" style="0" customWidth="1"/>
    <col min="4" max="4" width="16.140625" style="1" customWidth="1"/>
    <col min="5" max="5" width="14.8515625" style="20" customWidth="1"/>
    <col min="6" max="6" width="9.8515625" style="20" customWidth="1"/>
    <col min="7" max="7" width="24.140625" style="0" customWidth="1"/>
    <col min="8" max="8" width="12.421875" style="0" customWidth="1"/>
  </cols>
  <sheetData>
    <row r="1" spans="7:8" ht="12.75">
      <c r="G1" s="20" t="s">
        <v>127</v>
      </c>
      <c r="H1" s="20">
        <f>Summary!C17</f>
        <v>21.093333333333334</v>
      </c>
    </row>
    <row r="2" spans="2:8" ht="15">
      <c r="B2" s="5" t="s">
        <v>20</v>
      </c>
      <c r="G2" s="20" t="s">
        <v>128</v>
      </c>
      <c r="H2" s="20">
        <f>Summary!C18</f>
        <v>21.093333333333334</v>
      </c>
    </row>
    <row r="3" spans="2:8" ht="12.75">
      <c r="B3" s="4" t="s">
        <v>49</v>
      </c>
      <c r="G3" s="20" t="s">
        <v>129</v>
      </c>
      <c r="H3" s="20">
        <f>Summary!C19</f>
        <v>21.093333333333334</v>
      </c>
    </row>
    <row r="4" ht="12.75">
      <c r="G4" t="s">
        <v>6</v>
      </c>
    </row>
    <row r="5" spans="5:6" ht="12.75">
      <c r="E5" s="20" t="s">
        <v>130</v>
      </c>
      <c r="F5" s="20" t="s">
        <v>53</v>
      </c>
    </row>
    <row r="6" spans="2:8" ht="12.75">
      <c r="B6" s="4" t="s">
        <v>0</v>
      </c>
      <c r="C6" s="4" t="s">
        <v>1</v>
      </c>
      <c r="D6" s="4" t="s">
        <v>87</v>
      </c>
      <c r="E6" s="21" t="s">
        <v>22</v>
      </c>
      <c r="F6" s="21" t="s">
        <v>22</v>
      </c>
      <c r="G6" s="4" t="s">
        <v>131</v>
      </c>
      <c r="H6" s="4" t="s">
        <v>3</v>
      </c>
    </row>
    <row r="7" ht="12.75">
      <c r="G7" t="s">
        <v>6</v>
      </c>
    </row>
    <row r="8" spans="1:8" ht="12.75">
      <c r="A8" s="4"/>
      <c r="B8" s="4" t="s">
        <v>84</v>
      </c>
      <c r="C8">
        <v>1</v>
      </c>
      <c r="D8" s="1">
        <f>E8*5/632.8</f>
        <v>0.16666666666666669</v>
      </c>
      <c r="E8" s="20">
        <f>$H$2</f>
        <v>21.093333333333334</v>
      </c>
      <c r="F8" s="20">
        <f>SQRT(C8*E8^2)</f>
        <v>21.093333333333334</v>
      </c>
      <c r="G8" s="8">
        <f>SQRT((F8/E$43)*100)</f>
        <v>3.911407668425407</v>
      </c>
      <c r="H8" t="s">
        <v>57</v>
      </c>
    </row>
    <row r="9" spans="1:8" ht="12.75">
      <c r="A9" s="4"/>
      <c r="B9" s="4" t="s">
        <v>90</v>
      </c>
      <c r="C9">
        <v>2</v>
      </c>
      <c r="D9" s="1">
        <f aca="true" t="shared" si="0" ref="D9:D34">E9*5/632.8</f>
        <v>0.16666666666666669</v>
      </c>
      <c r="E9" s="20">
        <f>$H$1</f>
        <v>21.093333333333334</v>
      </c>
      <c r="F9" s="20">
        <f>SQRT(C9*E9^2)</f>
        <v>29.830478075656487</v>
      </c>
      <c r="G9" s="8">
        <f aca="true" t="shared" si="1" ref="G9:G40">SQRT((F9/E$43)*100)</f>
        <v>4.651473828967698</v>
      </c>
      <c r="H9" t="s">
        <v>4</v>
      </c>
    </row>
    <row r="10" spans="1:7" ht="12.75">
      <c r="A10" s="4"/>
      <c r="B10" s="4" t="s">
        <v>9</v>
      </c>
      <c r="C10">
        <v>2</v>
      </c>
      <c r="D10" s="1">
        <f t="shared" si="0"/>
        <v>0.16666666666666669</v>
      </c>
      <c r="E10" s="20">
        <f>$H$1</f>
        <v>21.093333333333334</v>
      </c>
      <c r="F10" s="20">
        <f>SQRT(C10*E10^2)</f>
        <v>29.830478075656487</v>
      </c>
      <c r="G10" s="8">
        <f t="shared" si="1"/>
        <v>4.651473828967698</v>
      </c>
    </row>
    <row r="11" spans="1:8" ht="12.75">
      <c r="A11" s="4"/>
      <c r="B11" s="4" t="s">
        <v>85</v>
      </c>
      <c r="C11">
        <v>1</v>
      </c>
      <c r="D11" s="1">
        <f t="shared" si="0"/>
        <v>0.16666666666666669</v>
      </c>
      <c r="E11" s="20">
        <f>$H$2</f>
        <v>21.093333333333334</v>
      </c>
      <c r="F11" s="20">
        <f>SQRT(C11*E11^2)</f>
        <v>21.093333333333334</v>
      </c>
      <c r="G11" s="8">
        <f t="shared" si="1"/>
        <v>3.911407668425407</v>
      </c>
      <c r="H11" t="s">
        <v>5</v>
      </c>
    </row>
    <row r="12" spans="1:8" ht="12.75">
      <c r="A12" s="4"/>
      <c r="B12" s="4"/>
      <c r="G12" s="8"/>
      <c r="H12" t="s">
        <v>59</v>
      </c>
    </row>
    <row r="13" spans="1:8" ht="12.75">
      <c r="A13" s="4"/>
      <c r="B13" s="4" t="s">
        <v>82</v>
      </c>
      <c r="C13">
        <v>1</v>
      </c>
      <c r="D13" s="1">
        <f t="shared" si="0"/>
        <v>0.16666666666666669</v>
      </c>
      <c r="E13" s="20">
        <f>$H$2</f>
        <v>21.093333333333334</v>
      </c>
      <c r="F13" s="20">
        <f>SQRT(C13*E13^2)</f>
        <v>21.093333333333334</v>
      </c>
      <c r="G13" s="8">
        <f t="shared" si="1"/>
        <v>3.911407668425407</v>
      </c>
      <c r="H13" t="s">
        <v>7</v>
      </c>
    </row>
    <row r="14" spans="1:8" ht="12.75">
      <c r="A14" s="4"/>
      <c r="B14" s="4" t="s">
        <v>83</v>
      </c>
      <c r="C14">
        <v>1</v>
      </c>
      <c r="D14" s="1">
        <f t="shared" si="0"/>
        <v>0.16666666666666669</v>
      </c>
      <c r="E14" s="20">
        <f>$H$2</f>
        <v>21.093333333333334</v>
      </c>
      <c r="F14" s="20">
        <f>SQRT(C14*E14^2)</f>
        <v>21.093333333333334</v>
      </c>
      <c r="G14" s="8">
        <f t="shared" si="1"/>
        <v>3.911407668425407</v>
      </c>
      <c r="H14" t="s">
        <v>8</v>
      </c>
    </row>
    <row r="15" spans="1:8" ht="12.75">
      <c r="A15" s="4"/>
      <c r="B15" s="4" t="s">
        <v>92</v>
      </c>
      <c r="C15">
        <v>1</v>
      </c>
      <c r="D15" s="1">
        <f t="shared" si="0"/>
        <v>0.16666666666666669</v>
      </c>
      <c r="E15" s="20">
        <f>$H$2</f>
        <v>21.093333333333334</v>
      </c>
      <c r="F15" s="20">
        <f>SQRT(C15*E15^2)</f>
        <v>21.093333333333334</v>
      </c>
      <c r="G15" s="8">
        <f t="shared" si="1"/>
        <v>3.911407668425407</v>
      </c>
      <c r="H15" t="s">
        <v>8</v>
      </c>
    </row>
    <row r="16" spans="1:7" ht="12.75">
      <c r="A16" s="4"/>
      <c r="B16" s="4" t="s">
        <v>93</v>
      </c>
      <c r="C16">
        <v>1</v>
      </c>
      <c r="D16" s="1">
        <f t="shared" si="0"/>
        <v>0.16666666666666669</v>
      </c>
      <c r="E16" s="20">
        <f>$H$2</f>
        <v>21.093333333333334</v>
      </c>
      <c r="F16" s="20">
        <f>SQRT(C16*E16^2)</f>
        <v>21.093333333333334</v>
      </c>
      <c r="G16" s="8">
        <f t="shared" si="1"/>
        <v>3.911407668425407</v>
      </c>
    </row>
    <row r="17" spans="1:7" ht="12.75">
      <c r="A17" s="4"/>
      <c r="B17" s="4"/>
      <c r="G17" s="8"/>
    </row>
    <row r="18" spans="1:7" ht="12.75">
      <c r="A18" s="4"/>
      <c r="B18" s="4" t="s">
        <v>18</v>
      </c>
      <c r="C18">
        <v>2</v>
      </c>
      <c r="D18" s="1">
        <f t="shared" si="0"/>
        <v>0.16666666666666669</v>
      </c>
      <c r="E18" s="20">
        <f>$H$3</f>
        <v>21.093333333333334</v>
      </c>
      <c r="F18" s="20">
        <f aca="true" t="shared" si="2" ref="F18:F24">SQRT(C18*E18^2)</f>
        <v>29.830478075656487</v>
      </c>
      <c r="G18" s="8">
        <f t="shared" si="1"/>
        <v>4.651473828967698</v>
      </c>
    </row>
    <row r="19" spans="1:7" ht="12.75">
      <c r="A19" s="4"/>
      <c r="B19" s="4" t="s">
        <v>78</v>
      </c>
      <c r="C19">
        <v>2</v>
      </c>
      <c r="D19" s="1">
        <f t="shared" si="0"/>
        <v>0.16666666666666669</v>
      </c>
      <c r="E19" s="20">
        <f>$H$3</f>
        <v>21.093333333333334</v>
      </c>
      <c r="F19" s="20">
        <f t="shared" si="2"/>
        <v>29.830478075656487</v>
      </c>
      <c r="G19" s="8">
        <f t="shared" si="1"/>
        <v>4.651473828967698</v>
      </c>
    </row>
    <row r="20" spans="1:7" ht="12.75">
      <c r="A20" s="4"/>
      <c r="B20" s="4" t="s">
        <v>25</v>
      </c>
      <c r="C20">
        <v>1</v>
      </c>
      <c r="D20" s="1">
        <f t="shared" si="0"/>
        <v>0.16666666666666669</v>
      </c>
      <c r="E20" s="20">
        <f>$H$2</f>
        <v>21.093333333333334</v>
      </c>
      <c r="F20" s="20">
        <f t="shared" si="2"/>
        <v>21.093333333333334</v>
      </c>
      <c r="G20" s="8">
        <f t="shared" si="1"/>
        <v>3.911407668425407</v>
      </c>
    </row>
    <row r="21" spans="1:7" ht="12.75">
      <c r="A21" s="4"/>
      <c r="B21" s="4" t="s">
        <v>94</v>
      </c>
      <c r="C21">
        <v>1</v>
      </c>
      <c r="D21" s="1">
        <f t="shared" si="0"/>
        <v>0.16666666666666669</v>
      </c>
      <c r="E21" s="20">
        <f>$H$2</f>
        <v>21.093333333333334</v>
      </c>
      <c r="F21" s="20">
        <f t="shared" si="2"/>
        <v>21.093333333333334</v>
      </c>
      <c r="G21" s="8">
        <f t="shared" si="1"/>
        <v>3.911407668425407</v>
      </c>
    </row>
    <row r="22" spans="1:7" ht="12.75">
      <c r="A22" s="4"/>
      <c r="B22" s="4" t="s">
        <v>95</v>
      </c>
      <c r="C22">
        <v>1</v>
      </c>
      <c r="D22" s="1">
        <f t="shared" si="0"/>
        <v>0.16666666666666669</v>
      </c>
      <c r="E22" s="20">
        <f>$H$2</f>
        <v>21.093333333333334</v>
      </c>
      <c r="F22" s="20">
        <f t="shared" si="2"/>
        <v>21.093333333333334</v>
      </c>
      <c r="G22" s="8">
        <f t="shared" si="1"/>
        <v>3.911407668425407</v>
      </c>
    </row>
    <row r="23" spans="1:7" ht="12.75">
      <c r="A23" s="4"/>
      <c r="B23" s="4" t="s">
        <v>77</v>
      </c>
      <c r="C23">
        <v>2</v>
      </c>
      <c r="D23" s="1">
        <f t="shared" si="0"/>
        <v>0.16666666666666669</v>
      </c>
      <c r="E23" s="20">
        <f>$H$1</f>
        <v>21.093333333333334</v>
      </c>
      <c r="F23" s="20">
        <f t="shared" si="2"/>
        <v>29.830478075656487</v>
      </c>
      <c r="G23" s="8">
        <f t="shared" si="1"/>
        <v>4.651473828967698</v>
      </c>
    </row>
    <row r="24" spans="1:7" ht="12.75">
      <c r="A24" s="4"/>
      <c r="B24" s="4" t="s">
        <v>76</v>
      </c>
      <c r="C24">
        <v>2</v>
      </c>
      <c r="D24" s="1">
        <f t="shared" si="0"/>
        <v>0.16666666666666669</v>
      </c>
      <c r="E24" s="20">
        <f>$H$1</f>
        <v>21.093333333333334</v>
      </c>
      <c r="F24" s="20">
        <f t="shared" si="2"/>
        <v>29.830478075656487</v>
      </c>
      <c r="G24" s="8">
        <f t="shared" si="1"/>
        <v>4.651473828967698</v>
      </c>
    </row>
    <row r="25" spans="1:7" ht="12.75">
      <c r="A25" s="4"/>
      <c r="B25" s="4"/>
      <c r="G25" s="8"/>
    </row>
    <row r="26" spans="1:7" ht="12.75">
      <c r="A26" s="4"/>
      <c r="B26" s="4" t="s">
        <v>96</v>
      </c>
      <c r="C26">
        <v>1</v>
      </c>
      <c r="D26" s="1">
        <f t="shared" si="0"/>
        <v>0.16666666666666669</v>
      </c>
      <c r="E26" s="20">
        <f>$H$2</f>
        <v>21.093333333333334</v>
      </c>
      <c r="F26" s="20">
        <f>SQRT(C26*E26^2)</f>
        <v>21.093333333333334</v>
      </c>
      <c r="G26" s="8">
        <f t="shared" si="1"/>
        <v>3.911407668425407</v>
      </c>
    </row>
    <row r="27" spans="1:7" ht="12.75">
      <c r="A27" s="4"/>
      <c r="B27" s="4" t="s">
        <v>17</v>
      </c>
      <c r="C27">
        <v>3</v>
      </c>
      <c r="D27" s="1">
        <f t="shared" si="0"/>
        <v>0.16666666666666669</v>
      </c>
      <c r="E27" s="20">
        <f>$H$2</f>
        <v>21.093333333333334</v>
      </c>
      <c r="F27" s="20">
        <f>SQRT(C27*E27^2)</f>
        <v>36.534725034319514</v>
      </c>
      <c r="G27" s="8">
        <f t="shared" si="1"/>
        <v>5.147701986477777</v>
      </c>
    </row>
    <row r="28" spans="1:7" ht="12.75">
      <c r="A28" s="4"/>
      <c r="B28" s="4" t="s">
        <v>74</v>
      </c>
      <c r="C28">
        <v>1</v>
      </c>
      <c r="D28" s="1">
        <f t="shared" si="0"/>
        <v>0.16666666666666669</v>
      </c>
      <c r="E28" s="20">
        <f>$H$2</f>
        <v>21.093333333333334</v>
      </c>
      <c r="F28" s="20">
        <f>SQRT(C28*E28^2)</f>
        <v>21.093333333333334</v>
      </c>
      <c r="G28" s="8">
        <f t="shared" si="1"/>
        <v>3.911407668425407</v>
      </c>
    </row>
    <row r="29" spans="1:7" ht="12.75">
      <c r="A29" s="7"/>
      <c r="B29" s="4" t="s">
        <v>6</v>
      </c>
      <c r="G29" s="8"/>
    </row>
    <row r="30" spans="1:7" ht="15" customHeight="1">
      <c r="A30" s="7"/>
      <c r="B30" s="7" t="s">
        <v>72</v>
      </c>
      <c r="C30">
        <v>2</v>
      </c>
      <c r="D30" s="1">
        <f t="shared" si="0"/>
        <v>0.16666666666666669</v>
      </c>
      <c r="E30" s="20">
        <f>$H$1</f>
        <v>21.093333333333334</v>
      </c>
      <c r="F30" s="20">
        <f>SQRT(C30*E30^2)</f>
        <v>29.830478075656487</v>
      </c>
      <c r="G30" s="8">
        <f t="shared" si="1"/>
        <v>4.651473828967698</v>
      </c>
    </row>
    <row r="31" spans="1:7" ht="14.25" customHeight="1">
      <c r="A31" s="7"/>
      <c r="B31" s="7" t="s">
        <v>73</v>
      </c>
      <c r="C31">
        <v>2</v>
      </c>
      <c r="D31" s="1">
        <f t="shared" si="0"/>
        <v>0.16666666666666669</v>
      </c>
      <c r="E31" s="20">
        <f>$H$1</f>
        <v>21.093333333333334</v>
      </c>
      <c r="F31" s="20">
        <f>SQRT(C31*E31^2)</f>
        <v>29.830478075656487</v>
      </c>
      <c r="G31" s="8">
        <f t="shared" si="1"/>
        <v>4.651473828967698</v>
      </c>
    </row>
    <row r="32" spans="1:7" ht="14.25" customHeight="1">
      <c r="A32" s="7"/>
      <c r="B32" s="7" t="s">
        <v>88</v>
      </c>
      <c r="C32">
        <v>1</v>
      </c>
      <c r="E32" s="20">
        <f>Summary!C21</f>
        <v>33.5</v>
      </c>
      <c r="F32" s="20">
        <f>SQRT(C32*E32^2)</f>
        <v>33.5</v>
      </c>
      <c r="G32" s="8">
        <f t="shared" si="1"/>
        <v>4.929273079109396</v>
      </c>
    </row>
    <row r="33" spans="1:7" ht="12.75">
      <c r="A33" s="4"/>
      <c r="B33" s="4" t="s">
        <v>6</v>
      </c>
      <c r="C33" t="s">
        <v>6</v>
      </c>
      <c r="F33" s="20" t="s">
        <v>6</v>
      </c>
      <c r="G33" s="8"/>
    </row>
    <row r="34" spans="1:7" ht="12.75">
      <c r="A34" s="4"/>
      <c r="B34" s="7" t="s">
        <v>75</v>
      </c>
      <c r="C34">
        <v>1</v>
      </c>
      <c r="D34" s="1">
        <f t="shared" si="0"/>
        <v>0.16666666666666669</v>
      </c>
      <c r="E34" s="20">
        <f>$H$2</f>
        <v>21.093333333333334</v>
      </c>
      <c r="F34" s="20">
        <f>SQRT(C34*E34^2)</f>
        <v>21.093333333333334</v>
      </c>
      <c r="G34" s="8">
        <f t="shared" si="1"/>
        <v>3.911407668425407</v>
      </c>
    </row>
    <row r="35" spans="1:7" ht="12.75">
      <c r="A35" s="4"/>
      <c r="B35" s="4"/>
      <c r="G35" s="8"/>
    </row>
    <row r="36" spans="1:7" ht="12.75">
      <c r="A36" s="4"/>
      <c r="B36" s="4" t="s">
        <v>13</v>
      </c>
      <c r="C36">
        <v>2</v>
      </c>
      <c r="E36" s="20">
        <f>589/200</f>
        <v>2.945</v>
      </c>
      <c r="F36" s="20">
        <f>SQRT(C36*E36^2)</f>
        <v>4.164858941188765</v>
      </c>
      <c r="G36" s="8">
        <f t="shared" si="1"/>
        <v>1.7380434264878177</v>
      </c>
    </row>
    <row r="37" spans="1:7" ht="12.75">
      <c r="A37" s="4"/>
      <c r="B37" s="4" t="s">
        <v>23</v>
      </c>
      <c r="C37">
        <v>1</v>
      </c>
      <c r="E37" s="20">
        <f>589/100</f>
        <v>5.89</v>
      </c>
      <c r="F37" s="20">
        <f>SQRT(C37*E37^2)</f>
        <v>5.89</v>
      </c>
      <c r="G37" s="8">
        <f t="shared" si="1"/>
        <v>2.0668936089630217</v>
      </c>
    </row>
    <row r="38" spans="1:8" ht="12.75">
      <c r="A38" s="4"/>
      <c r="B38" s="4" t="s">
        <v>10</v>
      </c>
      <c r="C38">
        <v>1</v>
      </c>
      <c r="E38" s="20">
        <f>589/16</f>
        <v>36.8125</v>
      </c>
      <c r="F38" s="20">
        <f>SQRT(C38*E38^2)</f>
        <v>36.8125</v>
      </c>
      <c r="G38" s="8">
        <f t="shared" si="1"/>
        <v>5.167234022407554</v>
      </c>
      <c r="H38" s="17" t="s">
        <v>60</v>
      </c>
    </row>
    <row r="39" spans="1:8" ht="12.75">
      <c r="A39" s="4"/>
      <c r="B39" s="4" t="s">
        <v>11</v>
      </c>
      <c r="C39">
        <v>1</v>
      </c>
      <c r="E39" s="20">
        <f>589/12</f>
        <v>49.083333333333336</v>
      </c>
      <c r="F39" s="20">
        <f>SQRT(C39*E39^2)</f>
        <v>49.083333333333336</v>
      </c>
      <c r="G39" s="8">
        <f t="shared" si="1"/>
        <v>5.966607907605588</v>
      </c>
      <c r="H39" s="17" t="s">
        <v>26</v>
      </c>
    </row>
    <row r="40" spans="1:8" ht="12.75">
      <c r="A40" s="4"/>
      <c r="B40" s="4" t="s">
        <v>12</v>
      </c>
      <c r="C40">
        <v>2</v>
      </c>
      <c r="E40" s="20">
        <f>589/50</f>
        <v>11.78</v>
      </c>
      <c r="F40" s="20">
        <f>SQRT(C40*E40^2)</f>
        <v>16.65943576475506</v>
      </c>
      <c r="G40" s="8">
        <f t="shared" si="1"/>
        <v>3.4760868529756355</v>
      </c>
      <c r="H40" s="17">
        <f>SQRT(SUMSQ(F36:F40))</f>
        <v>63.98365976842143</v>
      </c>
    </row>
    <row r="41" spans="1:6" ht="12.75">
      <c r="A41" s="4"/>
      <c r="B41" s="4"/>
      <c r="F41" s="20" t="s">
        <v>6</v>
      </c>
    </row>
    <row r="42" spans="1:7" ht="12.75">
      <c r="A42" s="4"/>
      <c r="B42" s="4" t="s">
        <v>6</v>
      </c>
      <c r="E42" s="20" t="s">
        <v>6</v>
      </c>
      <c r="G42" s="26"/>
    </row>
    <row r="43" spans="2:6" ht="12.75">
      <c r="B43" s="4" t="s">
        <v>27</v>
      </c>
      <c r="E43" s="22">
        <f>SQRT(SUMSQ(F8:F40))</f>
        <v>137.8729442704607</v>
      </c>
      <c r="F43" s="20" t="s">
        <v>39</v>
      </c>
    </row>
    <row r="44" spans="2:7" ht="12.75">
      <c r="B44" s="4" t="s">
        <v>89</v>
      </c>
      <c r="E44" s="22">
        <f>SQRT(SUMSQ(F8:F36))</f>
        <v>122.1981427618458</v>
      </c>
      <c r="F44" s="20" t="s">
        <v>39</v>
      </c>
      <c r="G44" t="s">
        <v>6</v>
      </c>
    </row>
    <row r="46" spans="2:7" ht="12.75">
      <c r="B46" s="4" t="s">
        <v>38</v>
      </c>
      <c r="E46" s="22">
        <v>70</v>
      </c>
      <c r="F46" s="20" t="s">
        <v>39</v>
      </c>
      <c r="G46" t="s">
        <v>63</v>
      </c>
    </row>
    <row r="50" ht="12.75">
      <c r="G50" t="s">
        <v>6</v>
      </c>
    </row>
    <row r="51" ht="12.75">
      <c r="B51" t="s">
        <v>68</v>
      </c>
    </row>
    <row r="52" ht="12.75">
      <c r="B52" t="s">
        <v>28</v>
      </c>
    </row>
    <row r="53" ht="12.75">
      <c r="B53" s="4" t="s">
        <v>54</v>
      </c>
    </row>
    <row r="55" spans="2:7" ht="12.75">
      <c r="B55" t="s">
        <v>67</v>
      </c>
      <c r="G55" s="4" t="s">
        <v>6</v>
      </c>
    </row>
    <row r="57" spans="2:7" ht="12.75">
      <c r="B57" t="s">
        <v>50</v>
      </c>
      <c r="C57">
        <v>0.134</v>
      </c>
      <c r="D57" s="1" t="s">
        <v>29</v>
      </c>
      <c r="G57" t="s">
        <v>48</v>
      </c>
    </row>
    <row r="59" spans="2:4" ht="12.75">
      <c r="B59" t="s">
        <v>15</v>
      </c>
      <c r="C59" t="s">
        <v>31</v>
      </c>
      <c r="D59" s="1" t="s">
        <v>32</v>
      </c>
    </row>
    <row r="60" spans="2:4" ht="12.75">
      <c r="B60" s="10">
        <v>0.5</v>
      </c>
      <c r="C60" s="8">
        <v>0.16</v>
      </c>
      <c r="D60" s="1">
        <f>C60*((589/500)^(6/5))</f>
        <v>0.19475756282650963</v>
      </c>
    </row>
    <row r="61" spans="2:4" ht="12.75">
      <c r="B61" s="10" t="s">
        <v>61</v>
      </c>
      <c r="C61" s="8">
        <v>0.22</v>
      </c>
      <c r="D61" s="1">
        <f>C61*((589/500)^(6/5))</f>
        <v>0.26779164888645074</v>
      </c>
    </row>
    <row r="62" spans="2:4" ht="12.75">
      <c r="B62" s="10" t="s">
        <v>62</v>
      </c>
      <c r="C62" s="8">
        <v>0.14</v>
      </c>
      <c r="D62" s="1">
        <f>C62*((589/500)^(6/5))</f>
        <v>0.17041286747319595</v>
      </c>
    </row>
    <row r="63" ht="12.75">
      <c r="B63" s="9"/>
    </row>
    <row r="64" ht="12.75">
      <c r="B64" s="9" t="s">
        <v>33</v>
      </c>
    </row>
    <row r="65" spans="2:7" ht="12.75">
      <c r="B65" s="8">
        <v>0.3</v>
      </c>
      <c r="C65" t="s">
        <v>30</v>
      </c>
      <c r="G65" t="s">
        <v>42</v>
      </c>
    </row>
    <row r="66" spans="2:4" ht="12.75">
      <c r="B66" s="9"/>
      <c r="D66" s="6" t="s">
        <v>58</v>
      </c>
    </row>
    <row r="67" spans="2:4" ht="12.75">
      <c r="B67" t="s">
        <v>40</v>
      </c>
      <c r="C67" t="s">
        <v>35</v>
      </c>
      <c r="D67" s="1" t="s">
        <v>34</v>
      </c>
    </row>
    <row r="68" spans="2:4" ht="12.75">
      <c r="B68" s="10">
        <v>0.5</v>
      </c>
      <c r="C68" s="8">
        <f>SQRT($C$57*($B$65/D60)^(5/3))</f>
        <v>0.5246965018698738</v>
      </c>
      <c r="D68" s="13">
        <f>C68/(2*PI())*589</f>
        <v>49.186236676518014</v>
      </c>
    </row>
    <row r="69" spans="2:4" ht="12.75">
      <c r="B69" s="10" t="s">
        <v>61</v>
      </c>
      <c r="C69" s="8">
        <f>SQRT($C$57*($B$65/D61)^(5/3))</f>
        <v>0.40239809894810186</v>
      </c>
      <c r="D69" s="8">
        <f>C69/(2*PI())*589</f>
        <v>37.72170781110112</v>
      </c>
    </row>
    <row r="70" spans="2:4" ht="12.75">
      <c r="B70" s="10" t="s">
        <v>62</v>
      </c>
      <c r="C70" s="8">
        <f>SQRT($C$57*($B$65/D62)^(5/3))</f>
        <v>0.5864551322274414</v>
      </c>
      <c r="D70" s="8">
        <f>C70/(2*PI())*589</f>
        <v>54.975630352213344</v>
      </c>
    </row>
    <row r="71" spans="2:6" ht="12.75">
      <c r="B71" s="9"/>
      <c r="F71" s="20" t="s">
        <v>6</v>
      </c>
    </row>
    <row r="72" spans="2:7" ht="12.75">
      <c r="B72" s="9"/>
      <c r="F72" s="20" t="s">
        <v>6</v>
      </c>
      <c r="G72" t="s">
        <v>6</v>
      </c>
    </row>
    <row r="73" spans="2:9" ht="12.75">
      <c r="B73" t="s">
        <v>6</v>
      </c>
      <c r="D73" s="4" t="s">
        <v>36</v>
      </c>
      <c r="F73" s="20" t="s">
        <v>6</v>
      </c>
      <c r="G73" t="s">
        <v>6</v>
      </c>
      <c r="I73" s="1"/>
    </row>
    <row r="74" spans="2:9" ht="12.75">
      <c r="B74" s="9" t="s">
        <v>6</v>
      </c>
      <c r="D74" s="10" t="s">
        <v>41</v>
      </c>
      <c r="E74" s="22">
        <f>SQRT(SUMSQ(E43,D68,E46))</f>
        <v>162.2597751761169</v>
      </c>
      <c r="F74" s="20" t="s">
        <v>39</v>
      </c>
      <c r="G74" t="s">
        <v>6</v>
      </c>
      <c r="I74" s="1">
        <v>41</v>
      </c>
    </row>
    <row r="75" spans="2:9" ht="12.75">
      <c r="B75" s="9" t="s">
        <v>6</v>
      </c>
      <c r="D75" s="10" t="s">
        <v>65</v>
      </c>
      <c r="E75" s="23">
        <f>SQRT(SUMSQ(E43,D69,E46))</f>
        <v>159.1599070180416</v>
      </c>
      <c r="F75" s="20" t="s">
        <v>39</v>
      </c>
      <c r="G75" t="s">
        <v>6</v>
      </c>
      <c r="I75" s="1"/>
    </row>
    <row r="76" spans="2:9" ht="12.75">
      <c r="B76" s="9" t="s">
        <v>6</v>
      </c>
      <c r="C76" t="s">
        <v>6</v>
      </c>
      <c r="D76" s="10" t="s">
        <v>66</v>
      </c>
      <c r="E76" s="23">
        <f>SQRT(SUMSQ(E43,D70,E46))</f>
        <v>164.10749128065044</v>
      </c>
      <c r="F76" s="20" t="s">
        <v>39</v>
      </c>
      <c r="I76" s="1"/>
    </row>
    <row r="77" spans="3:9" ht="12.75">
      <c r="C77" t="s">
        <v>6</v>
      </c>
      <c r="D77"/>
      <c r="E77" s="20" t="s">
        <v>6</v>
      </c>
      <c r="I77" s="1"/>
    </row>
    <row r="78" spans="3:9" ht="12.75">
      <c r="C78" s="9">
        <v>0.375</v>
      </c>
      <c r="D78" s="9">
        <v>0.875</v>
      </c>
      <c r="E78" s="20">
        <v>0.5</v>
      </c>
      <c r="I78" s="1"/>
    </row>
    <row r="79" spans="2:9" ht="12.75">
      <c r="B79" s="2" t="s">
        <v>37</v>
      </c>
      <c r="C79" s="1">
        <f>EXP(-1*(E76/589*2*PI())^2)</f>
        <v>0.046668501498218815</v>
      </c>
      <c r="D79" s="1">
        <f>EXP(-1*(E75/589*2*PI())^2)</f>
        <v>0.055984498676385046</v>
      </c>
      <c r="E79" s="20">
        <f>EXP(-1*(E74/589*2*PI())^2)</f>
        <v>0.049983485158026815</v>
      </c>
      <c r="I79" s="1">
        <f>EXP(-1*(I74/589*2*PI())^2)</f>
        <v>0.8258913734616113</v>
      </c>
    </row>
    <row r="80" spans="2:9" ht="12.75">
      <c r="B80" s="2" t="s">
        <v>69</v>
      </c>
      <c r="C80" s="1">
        <f>1/SQRT(C79)</f>
        <v>4.629009498478486</v>
      </c>
      <c r="D80" s="1">
        <f>1/SQRT(D79)</f>
        <v>4.226356261593303</v>
      </c>
      <c r="E80" s="20">
        <f>1/SQRT(E79)</f>
        <v>4.472874704195305</v>
      </c>
      <c r="G80" t="s">
        <v>70</v>
      </c>
      <c r="I80" s="1">
        <f>1/SQRT(I79)</f>
        <v>1.1003694770324324</v>
      </c>
    </row>
    <row r="81" ht="12.75">
      <c r="B81" s="2"/>
    </row>
    <row r="82" spans="2:7" ht="12.75">
      <c r="B82" s="2" t="s">
        <v>134</v>
      </c>
      <c r="C82">
        <v>0.115</v>
      </c>
      <c r="D82">
        <v>0.115</v>
      </c>
      <c r="E82">
        <v>0.115</v>
      </c>
      <c r="G82" t="s">
        <v>135</v>
      </c>
    </row>
    <row r="83" spans="2:5" ht="12.75">
      <c r="B83" s="2"/>
      <c r="D83"/>
      <c r="E83"/>
    </row>
    <row r="84" ht="25.5">
      <c r="B84" s="2" t="s">
        <v>44</v>
      </c>
    </row>
    <row r="85" spans="2:5" ht="12.75">
      <c r="B85" s="2" t="s">
        <v>46</v>
      </c>
      <c r="C85" s="1">
        <f>C82*C80</f>
        <v>0.5323360923250259</v>
      </c>
      <c r="D85" s="1">
        <f>D82*D80</f>
        <v>0.4860309700832298</v>
      </c>
      <c r="E85" s="1">
        <f>E82*E80</f>
        <v>0.51438059098246</v>
      </c>
    </row>
    <row r="86" spans="2:5" ht="12.75">
      <c r="B86" s="2" t="s">
        <v>47</v>
      </c>
      <c r="C86" s="1">
        <f>0.59*C85</f>
        <v>0.3140782944717653</v>
      </c>
      <c r="D86" s="1">
        <f>0.59*D85</f>
        <v>0.28675827234910556</v>
      </c>
      <c r="E86" s="20">
        <f>0.59*E85</f>
        <v>0.3034845486796514</v>
      </c>
    </row>
    <row r="88" spans="2:7" ht="12.75">
      <c r="B88" s="2" t="s">
        <v>51</v>
      </c>
      <c r="C88">
        <f>90000-4123</f>
        <v>85877</v>
      </c>
      <c r="D88">
        <f>90000-4123</f>
        <v>85877</v>
      </c>
      <c r="E88" s="20">
        <f>90000-4123</f>
        <v>85877</v>
      </c>
      <c r="G88" t="s">
        <v>43</v>
      </c>
    </row>
    <row r="90" spans="2:7" ht="38.25" customHeight="1">
      <c r="B90" s="2" t="s">
        <v>45</v>
      </c>
      <c r="C90" s="3">
        <f>C86/C88*206265</f>
        <v>0.754373806830917</v>
      </c>
      <c r="D90" s="3">
        <f>D86/D88*206265</f>
        <v>0.6887547893625565</v>
      </c>
      <c r="E90" s="24">
        <f>E86/E88*206265</f>
        <v>0.7289290547341931</v>
      </c>
      <c r="F90" s="20" t="s">
        <v>55</v>
      </c>
      <c r="G90" s="4" t="s">
        <v>64</v>
      </c>
    </row>
    <row r="91" spans="2:7" ht="25.5">
      <c r="B91" s="2" t="s">
        <v>71</v>
      </c>
      <c r="D91" s="1" t="s">
        <v>6</v>
      </c>
      <c r="E91" s="25">
        <v>0.9</v>
      </c>
      <c r="F91" s="20" t="s">
        <v>55</v>
      </c>
      <c r="G91" s="4" t="s">
        <v>56</v>
      </c>
    </row>
    <row r="93" ht="12.75">
      <c r="B93" t="s">
        <v>6</v>
      </c>
    </row>
    <row r="94" ht="12.75">
      <c r="B94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52">
      <selection activeCell="A80" sqref="A80:G80"/>
    </sheetView>
  </sheetViews>
  <sheetFormatPr defaultColWidth="9.140625" defaultRowHeight="12.75"/>
  <cols>
    <col min="1" max="1" width="7.421875" style="0" customWidth="1"/>
    <col min="2" max="2" width="32.140625" style="0" customWidth="1"/>
    <col min="3" max="3" width="20.7109375" style="0" customWidth="1"/>
    <col min="4" max="4" width="16.140625" style="1" customWidth="1"/>
    <col min="5" max="5" width="14.8515625" style="20" customWidth="1"/>
    <col min="6" max="6" width="9.8515625" style="20" customWidth="1"/>
    <col min="7" max="7" width="18.421875" style="0" customWidth="1"/>
    <col min="8" max="8" width="11.28125" style="0" customWidth="1"/>
  </cols>
  <sheetData>
    <row r="1" spans="7:9" ht="12.75">
      <c r="G1" s="21" t="s">
        <v>116</v>
      </c>
      <c r="H1" s="20">
        <f>Summary!C17</f>
        <v>21.093333333333334</v>
      </c>
      <c r="I1" s="4" t="s">
        <v>133</v>
      </c>
    </row>
    <row r="2" spans="2:9" ht="15">
      <c r="B2" s="5" t="s">
        <v>20</v>
      </c>
      <c r="G2" s="21" t="s">
        <v>117</v>
      </c>
      <c r="H2" s="20">
        <f>Summary!C18</f>
        <v>21.093333333333334</v>
      </c>
      <c r="I2" s="4" t="s">
        <v>133</v>
      </c>
    </row>
    <row r="3" spans="2:9" ht="12.75">
      <c r="B3" s="4" t="s">
        <v>49</v>
      </c>
      <c r="G3" s="21" t="s">
        <v>126</v>
      </c>
      <c r="H3" s="20">
        <f>Summary!C19</f>
        <v>21.093333333333334</v>
      </c>
      <c r="I3" s="4" t="s">
        <v>133</v>
      </c>
    </row>
    <row r="4" ht="12.75">
      <c r="G4" t="s">
        <v>6</v>
      </c>
    </row>
    <row r="5" spans="5:6" ht="12.75">
      <c r="E5" s="20" t="s">
        <v>130</v>
      </c>
      <c r="F5" s="20" t="s">
        <v>53</v>
      </c>
    </row>
    <row r="6" spans="2:8" ht="12.75">
      <c r="B6" s="4" t="s">
        <v>0</v>
      </c>
      <c r="C6" s="4" t="s">
        <v>1</v>
      </c>
      <c r="D6" s="4" t="s">
        <v>87</v>
      </c>
      <c r="E6" s="21" t="s">
        <v>22</v>
      </c>
      <c r="F6" s="21" t="s">
        <v>22</v>
      </c>
      <c r="G6" s="4" t="s">
        <v>131</v>
      </c>
      <c r="H6" s="4" t="s">
        <v>3</v>
      </c>
    </row>
    <row r="7" ht="12.75">
      <c r="G7" t="s">
        <v>6</v>
      </c>
    </row>
    <row r="8" spans="1:8" ht="12.75">
      <c r="A8" s="4"/>
      <c r="B8" s="4" t="s">
        <v>84</v>
      </c>
      <c r="C8">
        <v>1</v>
      </c>
      <c r="D8" s="1">
        <v>0.05</v>
      </c>
      <c r="E8" s="20">
        <f>$H$2</f>
        <v>21.093333333333334</v>
      </c>
      <c r="F8" s="20">
        <f>SQRT(C8*E8^2)</f>
        <v>21.093333333333334</v>
      </c>
      <c r="G8" s="8">
        <f>SQRT((F8/E$41)*100)</f>
        <v>4.054268427418424</v>
      </c>
      <c r="H8" t="s">
        <v>57</v>
      </c>
    </row>
    <row r="9" spans="1:8" ht="12.75">
      <c r="A9" s="4"/>
      <c r="B9" s="4" t="s">
        <v>90</v>
      </c>
      <c r="C9">
        <v>2</v>
      </c>
      <c r="D9" s="1">
        <v>0.05</v>
      </c>
      <c r="E9" s="20">
        <f>$H$1</f>
        <v>21.093333333333334</v>
      </c>
      <c r="F9" s="20">
        <f>SQRT(C9*E9^2)</f>
        <v>29.830478075656487</v>
      </c>
      <c r="G9" s="8">
        <f>SQRT((F9/E$41)*100)</f>
        <v>4.821364860016883</v>
      </c>
      <c r="H9" t="s">
        <v>4</v>
      </c>
    </row>
    <row r="10" spans="1:7" ht="12.75">
      <c r="A10" s="4"/>
      <c r="B10" s="4" t="s">
        <v>9</v>
      </c>
      <c r="C10">
        <v>2</v>
      </c>
      <c r="D10" s="1">
        <v>0.05</v>
      </c>
      <c r="E10" s="20">
        <f>$H$1</f>
        <v>21.093333333333334</v>
      </c>
      <c r="F10" s="20">
        <f>SQRT(C10*E10^2)</f>
        <v>29.830478075656487</v>
      </c>
      <c r="G10" s="8">
        <f>SQRT((F10/E$41)*100)</f>
        <v>4.821364860016883</v>
      </c>
    </row>
    <row r="11" spans="1:8" ht="12.75">
      <c r="A11" s="4"/>
      <c r="B11" s="4" t="s">
        <v>85</v>
      </c>
      <c r="C11">
        <v>1</v>
      </c>
      <c r="D11" s="1">
        <v>0.05</v>
      </c>
      <c r="E11" s="20">
        <f>$H$2</f>
        <v>21.093333333333334</v>
      </c>
      <c r="F11" s="20">
        <f>SQRT(C11*E11^2)</f>
        <v>21.093333333333334</v>
      </c>
      <c r="G11" s="8">
        <f>SQRT((F11/E$41)*100)</f>
        <v>4.054268427418424</v>
      </c>
      <c r="H11" t="s">
        <v>5</v>
      </c>
    </row>
    <row r="12" spans="1:8" ht="12.75">
      <c r="A12" s="4"/>
      <c r="B12" s="4"/>
      <c r="G12" s="8"/>
      <c r="H12" t="s">
        <v>59</v>
      </c>
    </row>
    <row r="13" spans="1:8" ht="12.75">
      <c r="A13" s="4"/>
      <c r="B13" s="4" t="s">
        <v>82</v>
      </c>
      <c r="C13">
        <v>1</v>
      </c>
      <c r="D13" s="1">
        <v>0.05</v>
      </c>
      <c r="E13" s="20">
        <f>$H$2</f>
        <v>21.093333333333334</v>
      </c>
      <c r="F13" s="20">
        <f>SQRT(C13*E13^2)</f>
        <v>21.093333333333334</v>
      </c>
      <c r="G13" s="8">
        <f>SQRT((F13/E$41)*100)</f>
        <v>4.054268427418424</v>
      </c>
      <c r="H13" t="s">
        <v>7</v>
      </c>
    </row>
    <row r="14" spans="1:8" ht="12.75">
      <c r="A14" s="4"/>
      <c r="B14" s="4" t="s">
        <v>83</v>
      </c>
      <c r="C14">
        <v>1</v>
      </c>
      <c r="D14" s="1">
        <v>0.05</v>
      </c>
      <c r="E14" s="20">
        <f>$H$2</f>
        <v>21.093333333333334</v>
      </c>
      <c r="F14" s="20">
        <f>SQRT(C14*E14^2)</f>
        <v>21.093333333333334</v>
      </c>
      <c r="G14" s="8">
        <f>SQRT((F14/E$41)*100)</f>
        <v>4.054268427418424</v>
      </c>
      <c r="H14" t="s">
        <v>8</v>
      </c>
    </row>
    <row r="15" spans="1:8" ht="12.75">
      <c r="A15" s="4"/>
      <c r="B15" s="4" t="s">
        <v>92</v>
      </c>
      <c r="C15">
        <v>1</v>
      </c>
      <c r="D15" s="1">
        <v>0.05</v>
      </c>
      <c r="E15" s="20">
        <f>$H$2</f>
        <v>21.093333333333334</v>
      </c>
      <c r="F15" s="20">
        <f>SQRT(C15*E15^2)</f>
        <v>21.093333333333334</v>
      </c>
      <c r="G15" s="8">
        <f>SQRT((F15/E$41)*100)</f>
        <v>4.054268427418424</v>
      </c>
      <c r="H15" t="s">
        <v>8</v>
      </c>
    </row>
    <row r="16" spans="1:7" ht="12.75">
      <c r="A16" s="4"/>
      <c r="B16" s="4" t="s">
        <v>93</v>
      </c>
      <c r="C16">
        <v>1</v>
      </c>
      <c r="D16" s="1">
        <v>0.05</v>
      </c>
      <c r="E16" s="20">
        <f>$H$2</f>
        <v>21.093333333333334</v>
      </c>
      <c r="F16" s="20">
        <f>SQRT(C16*E16^2)</f>
        <v>21.093333333333334</v>
      </c>
      <c r="G16" s="8">
        <f>SQRT((F16/E$41)*100)</f>
        <v>4.054268427418424</v>
      </c>
    </row>
    <row r="17" spans="1:7" ht="12.75">
      <c r="A17" s="4"/>
      <c r="B17" s="4"/>
      <c r="G17" s="8"/>
    </row>
    <row r="18" spans="1:7" ht="12.75">
      <c r="A18" s="4"/>
      <c r="B18" s="4" t="s">
        <v>18</v>
      </c>
      <c r="C18">
        <v>2</v>
      </c>
      <c r="D18" s="1">
        <v>0.1</v>
      </c>
      <c r="E18" s="20">
        <f>$H$3</f>
        <v>21.093333333333334</v>
      </c>
      <c r="F18" s="20">
        <f>SQRT(C18*E18^2)</f>
        <v>29.830478075656487</v>
      </c>
      <c r="G18" s="8">
        <f>SQRT((F18/E$41)*100)</f>
        <v>4.821364860016883</v>
      </c>
    </row>
    <row r="19" spans="1:7" ht="12.75">
      <c r="A19" s="4"/>
      <c r="B19" s="4" t="s">
        <v>25</v>
      </c>
      <c r="C19">
        <v>1</v>
      </c>
      <c r="D19" s="1">
        <v>0.05</v>
      </c>
      <c r="E19" s="20">
        <f>$H$2</f>
        <v>21.093333333333334</v>
      </c>
      <c r="F19" s="20">
        <f>SQRT(C19*E19^2)</f>
        <v>21.093333333333334</v>
      </c>
      <c r="G19" s="8">
        <f>SQRT((F19/E$41)*100)</f>
        <v>4.054268427418424</v>
      </c>
    </row>
    <row r="20" spans="1:7" ht="12.75">
      <c r="A20" s="4"/>
      <c r="B20" s="4" t="s">
        <v>86</v>
      </c>
      <c r="C20">
        <v>1</v>
      </c>
      <c r="D20" s="1">
        <v>0.05</v>
      </c>
      <c r="E20" s="20">
        <f>$H$2</f>
        <v>21.093333333333334</v>
      </c>
      <c r="F20" s="20">
        <f>SQRT(C20*E20^2)</f>
        <v>21.093333333333334</v>
      </c>
      <c r="G20" s="8">
        <f>SQRT((F20/E$41)*100)</f>
        <v>4.054268427418424</v>
      </c>
    </row>
    <row r="21" spans="2:7" ht="12.75">
      <c r="B21" s="4" t="s">
        <v>77</v>
      </c>
      <c r="C21">
        <v>2</v>
      </c>
      <c r="D21" s="1">
        <v>0.05</v>
      </c>
      <c r="E21" s="20">
        <f>$H$1</f>
        <v>21.093333333333334</v>
      </c>
      <c r="F21" s="20">
        <f>SQRT(C21*E21^2)</f>
        <v>29.830478075656487</v>
      </c>
      <c r="G21" s="8">
        <f>SQRT((F21/E$41)*100)</f>
        <v>4.821364860016883</v>
      </c>
    </row>
    <row r="22" spans="1:7" ht="12.75">
      <c r="A22" s="4"/>
      <c r="B22" s="4" t="s">
        <v>76</v>
      </c>
      <c r="C22">
        <v>2</v>
      </c>
      <c r="D22" s="1">
        <v>0.05</v>
      </c>
      <c r="E22" s="20">
        <f>$H$1</f>
        <v>21.093333333333334</v>
      </c>
      <c r="F22" s="20">
        <f>SQRT(C22*E22^2)</f>
        <v>29.830478075656487</v>
      </c>
      <c r="G22" s="8">
        <f>SQRT((F22/E$41)*100)</f>
        <v>4.821364860016883</v>
      </c>
    </row>
    <row r="23" spans="2:7" ht="12.75">
      <c r="B23" s="4"/>
      <c r="G23" s="8"/>
    </row>
    <row r="24" spans="1:7" ht="12.75">
      <c r="A24" s="4"/>
      <c r="B24" s="4" t="s">
        <v>96</v>
      </c>
      <c r="C24">
        <v>1</v>
      </c>
      <c r="D24" s="1">
        <v>0.05</v>
      </c>
      <c r="E24" s="20">
        <f>$H$2</f>
        <v>21.093333333333334</v>
      </c>
      <c r="F24" s="20">
        <f>SQRT(C24*E24^2)</f>
        <v>21.093333333333334</v>
      </c>
      <c r="G24" s="8">
        <f>SQRT((F24/E$41)*100)</f>
        <v>4.054268427418424</v>
      </c>
    </row>
    <row r="25" spans="1:7" ht="12.75">
      <c r="A25" s="4"/>
      <c r="B25" s="4" t="s">
        <v>17</v>
      </c>
      <c r="C25">
        <v>3</v>
      </c>
      <c r="D25" s="1">
        <v>0.05</v>
      </c>
      <c r="E25" s="20">
        <f>$H$2</f>
        <v>21.093333333333334</v>
      </c>
      <c r="F25" s="20">
        <f>SQRT(C25*E25^2)</f>
        <v>36.534725034319514</v>
      </c>
      <c r="G25" s="8">
        <f>SQRT((F25/E$41)*100)</f>
        <v>5.335717318859155</v>
      </c>
    </row>
    <row r="26" spans="1:7" ht="12.75">
      <c r="A26" s="4"/>
      <c r="B26" s="4" t="s">
        <v>74</v>
      </c>
      <c r="C26">
        <v>1</v>
      </c>
      <c r="D26" s="1">
        <v>0.05</v>
      </c>
      <c r="E26" s="20">
        <f>$H$2</f>
        <v>21.093333333333334</v>
      </c>
      <c r="F26" s="20">
        <f>SQRT(C26*E26^2)</f>
        <v>21.093333333333334</v>
      </c>
      <c r="G26" s="8">
        <f>SQRT((F26/E$41)*100)</f>
        <v>4.054268427418424</v>
      </c>
    </row>
    <row r="27" spans="1:7" ht="12.75">
      <c r="A27" s="4"/>
      <c r="B27" s="4" t="s">
        <v>6</v>
      </c>
      <c r="G27" s="8"/>
    </row>
    <row r="28" spans="1:7" ht="15" customHeight="1">
      <c r="A28" s="7"/>
      <c r="B28" s="7" t="s">
        <v>72</v>
      </c>
      <c r="C28">
        <v>2</v>
      </c>
      <c r="D28" s="1">
        <v>0.05</v>
      </c>
      <c r="E28" s="20">
        <f>$H$1</f>
        <v>21.093333333333334</v>
      </c>
      <c r="F28" s="20">
        <f>SQRT(C28*E28^2)</f>
        <v>29.830478075656487</v>
      </c>
      <c r="G28" s="8">
        <f>SQRT((F28/E$41)*100)</f>
        <v>4.821364860016883</v>
      </c>
    </row>
    <row r="29" spans="1:7" ht="14.25" customHeight="1">
      <c r="A29" s="7"/>
      <c r="B29" s="7" t="s">
        <v>73</v>
      </c>
      <c r="C29">
        <v>2</v>
      </c>
      <c r="D29" s="1">
        <v>0.05</v>
      </c>
      <c r="E29" s="20">
        <f>$H$1</f>
        <v>21.093333333333334</v>
      </c>
      <c r="F29" s="20">
        <f>SQRT(C29*E29^2)</f>
        <v>29.830478075656487</v>
      </c>
      <c r="G29" s="8">
        <f>SQRT((F29/E$41)*100)</f>
        <v>4.821364860016883</v>
      </c>
    </row>
    <row r="30" spans="1:7" ht="14.25" customHeight="1">
      <c r="A30" s="4"/>
      <c r="B30" s="7" t="s">
        <v>88</v>
      </c>
      <c r="C30">
        <v>1</v>
      </c>
      <c r="E30" s="20">
        <f>Summary!C20</f>
        <v>19</v>
      </c>
      <c r="F30" s="20">
        <f>SQRT(C30*E30^2)</f>
        <v>19</v>
      </c>
      <c r="G30" s="8">
        <f>SQRT((F30/E$41)*100)</f>
        <v>3.8478372261215394</v>
      </c>
    </row>
    <row r="31" spans="2:7" ht="12.75">
      <c r="B31" s="4" t="s">
        <v>6</v>
      </c>
      <c r="C31" t="s">
        <v>6</v>
      </c>
      <c r="F31" s="20" t="s">
        <v>6</v>
      </c>
      <c r="G31" s="8"/>
    </row>
    <row r="32" spans="2:7" ht="12.75">
      <c r="B32" s="7" t="s">
        <v>75</v>
      </c>
      <c r="G32" s="8">
        <f>SQRT((F32/E$41)*100)</f>
        <v>0</v>
      </c>
    </row>
    <row r="33" spans="2:7" ht="12.75">
      <c r="B33" s="4"/>
      <c r="G33" s="8"/>
    </row>
    <row r="34" spans="1:7" ht="12.75">
      <c r="A34" s="4"/>
      <c r="B34" s="4" t="s">
        <v>13</v>
      </c>
      <c r="C34">
        <v>2</v>
      </c>
      <c r="E34" s="20">
        <f>589/200</f>
        <v>2.945</v>
      </c>
      <c r="F34" s="20">
        <f>SQRT(C34*E34^2)</f>
        <v>4.164858941188765</v>
      </c>
      <c r="G34" s="8">
        <f>SQRT((F34/E$41)*100)</f>
        <v>1.8015239491332182</v>
      </c>
    </row>
    <row r="35" spans="1:7" ht="12.75">
      <c r="A35" s="4"/>
      <c r="B35" s="4" t="s">
        <v>23</v>
      </c>
      <c r="C35">
        <v>1</v>
      </c>
      <c r="E35" s="20">
        <f>589/100</f>
        <v>5.89</v>
      </c>
      <c r="F35" s="20">
        <f>SQRT(C35*E35^2)</f>
        <v>5.89</v>
      </c>
      <c r="G35" s="8">
        <f>SQRT((F35/E$41)*100)</f>
        <v>2.142385098157023</v>
      </c>
    </row>
    <row r="36" spans="1:8" ht="12.75">
      <c r="A36" s="4"/>
      <c r="B36" s="4" t="s">
        <v>10</v>
      </c>
      <c r="C36">
        <v>1</v>
      </c>
      <c r="E36" s="20">
        <f>589/16</f>
        <v>36.8125</v>
      </c>
      <c r="F36" s="20">
        <f>SQRT(C36*E36^2)</f>
        <v>36.8125</v>
      </c>
      <c r="G36" s="8">
        <f>SQRT((F36/E$41)*100)</f>
        <v>5.355962745392558</v>
      </c>
      <c r="H36" s="17" t="s">
        <v>60</v>
      </c>
    </row>
    <row r="37" spans="1:8" ht="12.75">
      <c r="A37" s="4"/>
      <c r="B37" s="4" t="s">
        <v>11</v>
      </c>
      <c r="C37">
        <v>1</v>
      </c>
      <c r="E37" s="20">
        <f>589/12</f>
        <v>49.083333333333336</v>
      </c>
      <c r="F37" s="20">
        <f>SQRT(C37*E37^2)</f>
        <v>49.083333333333336</v>
      </c>
      <c r="G37" s="8">
        <f>SQRT((F37/E$41)*100)</f>
        <v>6.184533065644001</v>
      </c>
      <c r="H37" s="17" t="s">
        <v>26</v>
      </c>
    </row>
    <row r="38" spans="1:8" ht="12.75">
      <c r="A38" s="4"/>
      <c r="B38" s="4" t="s">
        <v>12</v>
      </c>
      <c r="C38">
        <v>2</v>
      </c>
      <c r="E38" s="20">
        <f>589/50</f>
        <v>11.78</v>
      </c>
      <c r="F38" s="20">
        <f>SQRT(C38*E38^2)</f>
        <v>16.65943576475506</v>
      </c>
      <c r="G38" s="8">
        <f>SQRT((F38/E$41)*100)</f>
        <v>3.6030478982664365</v>
      </c>
      <c r="H38" s="17">
        <f>SQRT(SUMSQ(F34:F38))</f>
        <v>63.98365976842143</v>
      </c>
    </row>
    <row r="39" spans="1:6" ht="12.75">
      <c r="A39" s="4"/>
      <c r="B39" s="4"/>
      <c r="F39" s="20" t="s">
        <v>6</v>
      </c>
    </row>
    <row r="40" spans="1:7" ht="12.75">
      <c r="A40" s="4"/>
      <c r="B40" s="4" t="s">
        <v>6</v>
      </c>
      <c r="E40" s="20" t="s">
        <v>6</v>
      </c>
      <c r="G40" s="26"/>
    </row>
    <row r="41" spans="2:6" ht="12.75">
      <c r="B41" s="4" t="s">
        <v>27</v>
      </c>
      <c r="E41" s="22">
        <f>SQRT(SUMSQ(F8:F38))</f>
        <v>128.32764284191117</v>
      </c>
      <c r="F41" s="20" t="s">
        <v>39</v>
      </c>
    </row>
    <row r="42" spans="2:7" ht="12.75">
      <c r="B42" s="4" t="s">
        <v>89</v>
      </c>
      <c r="E42" s="22">
        <f>SQRT(SUMSQ(F8:F34))</f>
        <v>111.31676086735547</v>
      </c>
      <c r="F42" s="20" t="s">
        <v>39</v>
      </c>
      <c r="G42" t="s">
        <v>6</v>
      </c>
    </row>
    <row r="44" spans="2:7" ht="12.75">
      <c r="B44" s="4" t="s">
        <v>38</v>
      </c>
      <c r="E44" s="22">
        <v>70</v>
      </c>
      <c r="F44" s="20" t="s">
        <v>39</v>
      </c>
      <c r="G44" t="s">
        <v>63</v>
      </c>
    </row>
    <row r="48" ht="12.75">
      <c r="G48" t="s">
        <v>6</v>
      </c>
    </row>
    <row r="49" ht="12.75">
      <c r="B49" t="s">
        <v>68</v>
      </c>
    </row>
    <row r="50" ht="12.75">
      <c r="B50" t="s">
        <v>28</v>
      </c>
    </row>
    <row r="51" ht="12.75">
      <c r="B51" s="4" t="s">
        <v>54</v>
      </c>
    </row>
    <row r="53" spans="2:7" ht="12.75">
      <c r="B53" t="s">
        <v>67</v>
      </c>
      <c r="G53" s="4" t="s">
        <v>6</v>
      </c>
    </row>
    <row r="55" spans="2:7" ht="12.75">
      <c r="B55" t="s">
        <v>50</v>
      </c>
      <c r="C55">
        <v>0.134</v>
      </c>
      <c r="D55" s="1" t="s">
        <v>29</v>
      </c>
      <c r="G55" t="s">
        <v>48</v>
      </c>
    </row>
    <row r="57" spans="2:4" ht="12.75">
      <c r="B57" t="s">
        <v>15</v>
      </c>
      <c r="C57" t="s">
        <v>31</v>
      </c>
      <c r="D57" s="1" t="s">
        <v>32</v>
      </c>
    </row>
    <row r="58" spans="2:4" ht="12.75">
      <c r="B58" s="10">
        <v>0.5</v>
      </c>
      <c r="C58" s="8">
        <v>0.16</v>
      </c>
      <c r="D58" s="1">
        <f>C58*((589/500)^(6/5))</f>
        <v>0.19475756282650963</v>
      </c>
    </row>
    <row r="59" spans="2:4" ht="12.75">
      <c r="B59" s="10" t="s">
        <v>61</v>
      </c>
      <c r="C59" s="8">
        <v>0.22</v>
      </c>
      <c r="D59" s="1">
        <f>C59*((589/500)^(6/5))</f>
        <v>0.26779164888645074</v>
      </c>
    </row>
    <row r="60" spans="2:4" ht="12.75">
      <c r="B60" s="10" t="s">
        <v>62</v>
      </c>
      <c r="C60" s="8">
        <v>0.14</v>
      </c>
      <c r="D60" s="1">
        <f>C60*((589/500)^(6/5))</f>
        <v>0.17041286747319595</v>
      </c>
    </row>
    <row r="61" ht="12.75">
      <c r="B61" s="9"/>
    </row>
    <row r="62" ht="12.75">
      <c r="B62" s="9" t="s">
        <v>33</v>
      </c>
    </row>
    <row r="63" spans="2:7" ht="12.75">
      <c r="B63" s="8">
        <v>0.3</v>
      </c>
      <c r="C63" t="s">
        <v>30</v>
      </c>
      <c r="G63" t="s">
        <v>42</v>
      </c>
    </row>
    <row r="64" spans="2:4" ht="12.75">
      <c r="B64" s="9"/>
      <c r="D64" s="6" t="s">
        <v>58</v>
      </c>
    </row>
    <row r="65" spans="2:4" ht="12.75">
      <c r="B65" t="s">
        <v>40</v>
      </c>
      <c r="C65" t="s">
        <v>35</v>
      </c>
      <c r="D65" s="1" t="s">
        <v>34</v>
      </c>
    </row>
    <row r="66" spans="2:4" ht="12.75">
      <c r="B66" s="10">
        <v>0.5</v>
      </c>
      <c r="C66" s="8">
        <f>SQRT($C$55*($B$63/D58)^(5/3))</f>
        <v>0.5246965018698738</v>
      </c>
      <c r="D66" s="13">
        <f>C66/(2*PI())*589</f>
        <v>49.186236676518014</v>
      </c>
    </row>
    <row r="67" spans="2:4" ht="12.75">
      <c r="B67" s="10" t="s">
        <v>61</v>
      </c>
      <c r="C67" s="8">
        <f>SQRT($C$55*($B$63/D59)^(5/3))</f>
        <v>0.40239809894810186</v>
      </c>
      <c r="D67" s="8">
        <f>C67/(2*PI())*589</f>
        <v>37.72170781110112</v>
      </c>
    </row>
    <row r="68" spans="2:4" ht="12.75">
      <c r="B68" s="10" t="s">
        <v>62</v>
      </c>
      <c r="C68" s="8">
        <f>SQRT($C$55*($B$63/D60)^(5/3))</f>
        <v>0.5864551322274414</v>
      </c>
      <c r="D68" s="8">
        <f>C68/(2*PI())*589</f>
        <v>54.975630352213344</v>
      </c>
    </row>
    <row r="69" spans="2:6" ht="12.75">
      <c r="B69" s="9"/>
      <c r="F69" s="20" t="s">
        <v>6</v>
      </c>
    </row>
    <row r="70" spans="2:7" ht="12.75">
      <c r="B70" s="9"/>
      <c r="F70" s="20" t="s">
        <v>6</v>
      </c>
      <c r="G70" t="s">
        <v>6</v>
      </c>
    </row>
    <row r="71" spans="2:7" ht="12.75">
      <c r="B71" t="s">
        <v>6</v>
      </c>
      <c r="D71" s="4" t="s">
        <v>36</v>
      </c>
      <c r="F71" s="20" t="s">
        <v>6</v>
      </c>
      <c r="G71" t="s">
        <v>6</v>
      </c>
    </row>
    <row r="72" spans="2:7" ht="12.75">
      <c r="B72" s="9" t="s">
        <v>6</v>
      </c>
      <c r="D72" s="10" t="s">
        <v>41</v>
      </c>
      <c r="E72" s="22">
        <f>SQRT(SUMSQ(E41,D66,E44))</f>
        <v>154.23122185783123</v>
      </c>
      <c r="F72" s="20" t="s">
        <v>39</v>
      </c>
      <c r="G72" t="s">
        <v>6</v>
      </c>
    </row>
    <row r="73" spans="2:7" ht="12.75">
      <c r="B73" s="9" t="s">
        <v>6</v>
      </c>
      <c r="D73" s="10" t="s">
        <v>65</v>
      </c>
      <c r="E73" s="23">
        <f>SQRT(SUMSQ(E41,D67,E44))</f>
        <v>150.9665895406901</v>
      </c>
      <c r="F73" s="20" t="s">
        <v>39</v>
      </c>
      <c r="G73" t="s">
        <v>6</v>
      </c>
    </row>
    <row r="74" spans="2:6" ht="12.75">
      <c r="B74" s="9" t="s">
        <v>6</v>
      </c>
      <c r="C74" t="s">
        <v>6</v>
      </c>
      <c r="D74" s="10" t="s">
        <v>66</v>
      </c>
      <c r="E74" s="23">
        <f>SQRT(SUMSQ(E41,D68,E44))</f>
        <v>156.17395381427826</v>
      </c>
      <c r="F74" s="20" t="s">
        <v>39</v>
      </c>
    </row>
    <row r="75" spans="3:5" ht="12.75">
      <c r="C75" t="s">
        <v>6</v>
      </c>
      <c r="D75"/>
      <c r="E75" s="20" t="s">
        <v>6</v>
      </c>
    </row>
    <row r="76" spans="3:5" ht="12.75">
      <c r="C76" s="9">
        <v>0.375</v>
      </c>
      <c r="D76" s="9">
        <v>0.875</v>
      </c>
      <c r="E76" s="9">
        <v>0.5</v>
      </c>
    </row>
    <row r="77" spans="2:5" ht="12.75">
      <c r="B77" s="2" t="s">
        <v>37</v>
      </c>
      <c r="C77" s="1">
        <f>EXP(-1*(E74/589*2*PI())^2)</f>
        <v>0.06231626818354268</v>
      </c>
      <c r="D77" s="1">
        <f>EXP(-1*(E73/589*2*PI())^2)</f>
        <v>0.07475588291113142</v>
      </c>
      <c r="E77" s="1">
        <f>EXP(-1*(E72/589*2*PI())^2)</f>
        <v>0.06674275294600175</v>
      </c>
    </row>
    <row r="78" spans="2:7" ht="12.75">
      <c r="B78" s="2" t="s">
        <v>69</v>
      </c>
      <c r="C78" s="1">
        <f>1/SQRT(C77)</f>
        <v>4.005892412798401</v>
      </c>
      <c r="D78" s="1">
        <f>1/SQRT(D77)</f>
        <v>3.657440860223868</v>
      </c>
      <c r="E78" s="1">
        <f>1/SQRT(E77)</f>
        <v>3.870775129500875</v>
      </c>
      <c r="G78" t="s">
        <v>70</v>
      </c>
    </row>
    <row r="79" ht="12.75">
      <c r="B79" s="2"/>
    </row>
    <row r="80" spans="2:7" ht="12.75">
      <c r="B80" s="2" t="s">
        <v>134</v>
      </c>
      <c r="C80">
        <v>0.115</v>
      </c>
      <c r="D80">
        <v>0.115</v>
      </c>
      <c r="E80">
        <v>0.115</v>
      </c>
      <c r="G80" t="s">
        <v>135</v>
      </c>
    </row>
    <row r="81" ht="12.75">
      <c r="B81" s="2"/>
    </row>
    <row r="82" ht="25.5">
      <c r="B82" s="2" t="s">
        <v>44</v>
      </c>
    </row>
    <row r="83" spans="2:5" ht="12.75">
      <c r="B83" s="2" t="s">
        <v>46</v>
      </c>
      <c r="C83" s="1">
        <f>C80*C78</f>
        <v>0.4606776274718161</v>
      </c>
      <c r="D83" s="1">
        <f>D80*D78</f>
        <v>0.42060569892574484</v>
      </c>
      <c r="E83" s="1">
        <f>E80*E78</f>
        <v>0.4451391398926006</v>
      </c>
    </row>
    <row r="84" spans="2:5" ht="12.75">
      <c r="B84" s="2" t="s">
        <v>47</v>
      </c>
      <c r="C84" s="1">
        <f>0.59*C83</f>
        <v>0.2717998002083715</v>
      </c>
      <c r="D84" s="1">
        <f>0.59*D83</f>
        <v>0.24815736236618943</v>
      </c>
      <c r="E84" s="20">
        <f>0.59*E83</f>
        <v>0.26263209253663433</v>
      </c>
    </row>
    <row r="86" spans="2:7" ht="12.75">
      <c r="B86" s="2" t="s">
        <v>51</v>
      </c>
      <c r="C86">
        <f>90000-4123</f>
        <v>85877</v>
      </c>
      <c r="D86">
        <f>90000-4123</f>
        <v>85877</v>
      </c>
      <c r="E86" s="20">
        <f>90000-4123</f>
        <v>85877</v>
      </c>
      <c r="G86" t="s">
        <v>43</v>
      </c>
    </row>
    <row r="88" spans="2:7" ht="25.5">
      <c r="B88" s="2" t="s">
        <v>45</v>
      </c>
      <c r="C88" s="3">
        <f>C84/C86*206265</f>
        <v>0.6528265518122403</v>
      </c>
      <c r="D88" s="3">
        <f>D84/D86*206265</f>
        <v>0.5960405969987548</v>
      </c>
      <c r="E88" s="24">
        <f>E84/E86*206265</f>
        <v>0.6308069514196919</v>
      </c>
      <c r="F88" s="20" t="s">
        <v>55</v>
      </c>
      <c r="G88" s="4" t="s">
        <v>64</v>
      </c>
    </row>
    <row r="89" spans="2:7" ht="38.25" customHeight="1">
      <c r="B89" s="2" t="s">
        <v>71</v>
      </c>
      <c r="D89" s="1" t="s">
        <v>6</v>
      </c>
      <c r="E89" s="25">
        <v>0.9</v>
      </c>
      <c r="F89" s="20" t="s">
        <v>55</v>
      </c>
      <c r="G89" s="4" t="s">
        <v>56</v>
      </c>
    </row>
    <row r="91" ht="12.75">
      <c r="B91" t="s">
        <v>6</v>
      </c>
    </row>
    <row r="92" ht="12.75">
      <c r="B92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tstalcup</cp:lastModifiedBy>
  <cp:lastPrinted>2009-08-14T00:57:26Z</cp:lastPrinted>
  <dcterms:created xsi:type="dcterms:W3CDTF">1996-10-14T23:33:28Z</dcterms:created>
  <dcterms:modified xsi:type="dcterms:W3CDTF">2009-08-15T03:16:34Z</dcterms:modified>
  <cp:category/>
  <cp:version/>
  <cp:contentType/>
  <cp:contentStatus/>
</cp:coreProperties>
</file>